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941" documentId="11_32B735B1138EF29ACC67CC8E560719B1F08056BA" xr6:coauthVersionLast="47" xr6:coauthVersionMax="47" xr10:uidLastSave="{A60AB105-315C-46FD-A479-3A5FF764562B}"/>
  <bookViews>
    <workbookView xWindow="-120" yWindow="-120" windowWidth="20730" windowHeight="11040" firstSheet="3" activeTab="9" xr2:uid="{00000000-000D-0000-FFFF-FFFF00000000}"/>
  </bookViews>
  <sheets>
    <sheet name="1. Portada" sheetId="1" r:id="rId1"/>
    <sheet name="Inversion" sheetId="2" r:id="rId2"/>
    <sheet name="Gastos" sheetId="7" r:id="rId3"/>
    <sheet name="Costos" sheetId="6" r:id="rId4"/>
    <sheet name="Capital" sheetId="3" r:id="rId5"/>
    <sheet name="Credito" sheetId="4" r:id="rId6"/>
    <sheet name="Ingresos" sheetId="5" r:id="rId7"/>
    <sheet name="Est. Resultados" sheetId="8" r:id="rId8"/>
    <sheet name="Flujo de Caja" sheetId="9" r:id="rId9"/>
    <sheet name="Evaluacion" sheetId="10" r:id="rId10"/>
    <sheet name="Punto de Equilibrio" sheetId="12" r:id="rId11"/>
    <sheet name="Nomina" sheetId="11" r:id="rId12"/>
    <sheet name="NOMINA COMPLETA 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2" l="1"/>
  <c r="B5" i="10"/>
  <c r="E14" i="7"/>
  <c r="D14" i="7"/>
  <c r="C14" i="7"/>
  <c r="B14" i="7"/>
  <c r="G26" i="6"/>
  <c r="F26" i="6"/>
  <c r="E26" i="6"/>
  <c r="D26" i="6"/>
  <c r="C26" i="6"/>
  <c r="G22" i="7"/>
  <c r="F22" i="7"/>
  <c r="E22" i="7"/>
  <c r="D22" i="7"/>
  <c r="C22" i="7"/>
  <c r="G20" i="7"/>
  <c r="F20" i="7"/>
  <c r="E20" i="7"/>
  <c r="D20" i="7"/>
  <c r="C20" i="7"/>
  <c r="F14" i="7"/>
  <c r="B20" i="5"/>
  <c r="C12" i="5"/>
  <c r="D5" i="5"/>
  <c r="D44" i="13"/>
  <c r="P12" i="13"/>
  <c r="R12" i="13"/>
  <c r="N12" i="13"/>
  <c r="H8" i="13"/>
  <c r="T8" i="13" s="1"/>
  <c r="H11" i="13"/>
  <c r="L11" i="13" s="1"/>
  <c r="G44" i="13" s="1"/>
  <c r="H10" i="13"/>
  <c r="G36" i="13" s="1"/>
  <c r="D36" i="13"/>
  <c r="D58" i="13" s="1"/>
  <c r="H9" i="13"/>
  <c r="L9" i="13" s="1"/>
  <c r="G35" i="13" s="1"/>
  <c r="D35" i="13"/>
  <c r="D38" i="13" s="1"/>
  <c r="D34" i="13"/>
  <c r="P34" i="13" s="1"/>
  <c r="C13" i="5"/>
  <c r="B19" i="12"/>
  <c r="E19" i="12"/>
  <c r="D19" i="12"/>
  <c r="C19" i="12"/>
  <c r="B23" i="5"/>
  <c r="B22" i="5"/>
  <c r="B21" i="5"/>
  <c r="E16" i="5"/>
  <c r="D16" i="5"/>
  <c r="C16" i="5"/>
  <c r="E15" i="5"/>
  <c r="D15" i="5"/>
  <c r="C15" i="5"/>
  <c r="E14" i="5"/>
  <c r="D14" i="5"/>
  <c r="C14" i="5"/>
  <c r="E13" i="5"/>
  <c r="D13" i="5"/>
  <c r="E12" i="5"/>
  <c r="D12" i="5"/>
  <c r="C8" i="5"/>
  <c r="D7" i="5"/>
  <c r="D6" i="5"/>
  <c r="G22" i="6"/>
  <c r="F22" i="6"/>
  <c r="E22" i="6"/>
  <c r="D22" i="6"/>
  <c r="C22" i="6"/>
  <c r="D16" i="6"/>
  <c r="E16" i="6" s="1"/>
  <c r="B15" i="6"/>
  <c r="D15" i="6" s="1"/>
  <c r="D14" i="6"/>
  <c r="E14" i="6" s="1"/>
  <c r="D13" i="6"/>
  <c r="E13" i="6" s="1"/>
  <c r="D12" i="6"/>
  <c r="E12" i="6" s="1"/>
  <c r="B23" i="11"/>
  <c r="C22" i="11"/>
  <c r="C21" i="11"/>
  <c r="F10" i="11"/>
  <c r="B23" i="2"/>
  <c r="B27" i="2" s="1"/>
  <c r="B6" i="2" s="1"/>
  <c r="B17" i="2"/>
  <c r="D16" i="2"/>
  <c r="F16" i="2" s="1"/>
  <c r="C15" i="2"/>
  <c r="D15" i="2" s="1"/>
  <c r="F15" i="2" s="1"/>
  <c r="D14" i="2"/>
  <c r="F14" i="2" s="1"/>
  <c r="D13" i="2"/>
  <c r="F13" i="2" s="1"/>
  <c r="D12" i="2"/>
  <c r="F12" i="2" s="1"/>
  <c r="E28" i="6" l="1"/>
  <c r="F28" i="6"/>
  <c r="E7" i="6" s="1"/>
  <c r="D28" i="6"/>
  <c r="C7" i="6" s="1"/>
  <c r="G28" i="6"/>
  <c r="F7" i="6" s="1"/>
  <c r="C28" i="6"/>
  <c r="B7" i="6" s="1"/>
  <c r="D7" i="6"/>
  <c r="C25" i="6"/>
  <c r="B7" i="12" s="1"/>
  <c r="F12" i="5"/>
  <c r="D17" i="6"/>
  <c r="C24" i="11"/>
  <c r="B48" i="11" s="1"/>
  <c r="F13" i="5"/>
  <c r="C17" i="12" s="1"/>
  <c r="D8" i="5"/>
  <c r="B6" i="12" s="1"/>
  <c r="T11" i="13"/>
  <c r="G46" i="13" s="1"/>
  <c r="T10" i="13"/>
  <c r="G39" i="13" s="1"/>
  <c r="D39" i="13"/>
  <c r="G34" i="13"/>
  <c r="G33" i="13" s="1"/>
  <c r="D46" i="13"/>
  <c r="D60" i="13" s="1"/>
  <c r="P38" i="13" s="1"/>
  <c r="AB9" i="13"/>
  <c r="AB11" i="13"/>
  <c r="T9" i="13"/>
  <c r="G38" i="13" s="1"/>
  <c r="L10" i="13"/>
  <c r="L8" i="13"/>
  <c r="H12" i="13"/>
  <c r="D56" i="13"/>
  <c r="P36" i="13"/>
  <c r="D57" i="13"/>
  <c r="P35" i="13"/>
  <c r="F17" i="2"/>
  <c r="F16" i="5"/>
  <c r="F15" i="5"/>
  <c r="E20" i="9" s="1"/>
  <c r="D17" i="2"/>
  <c r="B5" i="2" s="1"/>
  <c r="F14" i="5"/>
  <c r="D20" i="9" s="1"/>
  <c r="E15" i="6"/>
  <c r="E17" i="6" s="1"/>
  <c r="B5" i="6" s="1"/>
  <c r="B8" i="12" l="1"/>
  <c r="B9" i="12" s="1"/>
  <c r="B20" i="9"/>
  <c r="C23" i="6"/>
  <c r="B10" i="8"/>
  <c r="D10" i="8" s="1"/>
  <c r="E6" i="9" s="1"/>
  <c r="C5" i="8"/>
  <c r="C20" i="9"/>
  <c r="D25" i="6"/>
  <c r="E25" i="6" s="1"/>
  <c r="F25" i="6" s="1"/>
  <c r="G25" i="6" s="1"/>
  <c r="V11" i="13"/>
  <c r="J108" i="13" s="1"/>
  <c r="D5" i="8"/>
  <c r="D17" i="12"/>
  <c r="C21" i="5"/>
  <c r="G37" i="13"/>
  <c r="I32" i="13" s="1"/>
  <c r="AB10" i="13"/>
  <c r="V10" i="13"/>
  <c r="T12" i="13"/>
  <c r="V9" i="13"/>
  <c r="L12" i="13"/>
  <c r="V8" i="13"/>
  <c r="AB8" i="13"/>
  <c r="G43" i="13"/>
  <c r="C22" i="5"/>
  <c r="E17" i="12"/>
  <c r="C23" i="5"/>
  <c r="C20" i="5"/>
  <c r="B17" i="12"/>
  <c r="F17" i="12"/>
  <c r="E5" i="8"/>
  <c r="F20" i="9"/>
  <c r="F5" i="8"/>
  <c r="B5" i="8"/>
  <c r="B46" i="11"/>
  <c r="C10" i="8" l="1"/>
  <c r="D6" i="9" s="1"/>
  <c r="F10" i="8"/>
  <c r="G6" i="9" s="1"/>
  <c r="E10" i="8"/>
  <c r="F6" i="9" s="1"/>
  <c r="C6" i="9"/>
  <c r="D23" i="6"/>
  <c r="E23" i="6" s="1"/>
  <c r="F23" i="6" s="1"/>
  <c r="G23" i="6" s="1"/>
  <c r="F108" i="13"/>
  <c r="G85" i="13"/>
  <c r="H108" i="13"/>
  <c r="G79" i="13"/>
  <c r="G80" i="13" s="1"/>
  <c r="X11" i="13"/>
  <c r="G86" i="13"/>
  <c r="Z11" i="13"/>
  <c r="AD11" i="13" s="1"/>
  <c r="AF11" i="13" s="1"/>
  <c r="AH11" i="13" s="1"/>
  <c r="G60" i="13" s="1"/>
  <c r="S38" i="13" s="1"/>
  <c r="S37" i="13" s="1"/>
  <c r="G81" i="13"/>
  <c r="G83" i="13"/>
  <c r="G82" i="13"/>
  <c r="C24" i="6"/>
  <c r="J106" i="13"/>
  <c r="H106" i="13"/>
  <c r="F106" i="13"/>
  <c r="H107" i="13"/>
  <c r="F107" i="13"/>
  <c r="J107" i="13"/>
  <c r="J105" i="13"/>
  <c r="H105" i="13"/>
  <c r="F105" i="13"/>
  <c r="X8" i="13"/>
  <c r="Z8" i="13"/>
  <c r="G73" i="13"/>
  <c r="G72" i="13"/>
  <c r="G74" i="13"/>
  <c r="G76" i="13"/>
  <c r="G77" i="13"/>
  <c r="G70" i="13"/>
  <c r="X9" i="13"/>
  <c r="Z9" i="13"/>
  <c r="AD9" i="13" s="1"/>
  <c r="X10" i="13"/>
  <c r="Z10" i="13"/>
  <c r="AD10" i="13" s="1"/>
  <c r="AB12" i="13"/>
  <c r="G51" i="13" s="1"/>
  <c r="V12" i="13"/>
  <c r="X19" i="13" s="1"/>
  <c r="L108" i="13" l="1"/>
  <c r="C32" i="11" s="1"/>
  <c r="D32" i="11" s="1"/>
  <c r="G90" i="13"/>
  <c r="S72" i="13" s="1"/>
  <c r="G92" i="13"/>
  <c r="K91" i="13" s="1"/>
  <c r="AD8" i="13"/>
  <c r="AD12" i="13" s="1"/>
  <c r="I78" i="13"/>
  <c r="K96" i="13"/>
  <c r="H109" i="13"/>
  <c r="D24" i="6"/>
  <c r="C5" i="6" s="1"/>
  <c r="K95" i="13"/>
  <c r="J109" i="13"/>
  <c r="L105" i="13"/>
  <c r="L106" i="13"/>
  <c r="N108" i="13"/>
  <c r="F109" i="13"/>
  <c r="L107" i="13"/>
  <c r="D33" i="11"/>
  <c r="E32" i="11"/>
  <c r="E33" i="11" s="1"/>
  <c r="B6" i="7" s="1"/>
  <c r="B42" i="11" s="1"/>
  <c r="G89" i="13"/>
  <c r="K87" i="13" s="1"/>
  <c r="S71" i="13"/>
  <c r="AF10" i="13"/>
  <c r="AH10" i="13" s="1"/>
  <c r="G58" i="13" s="1"/>
  <c r="S36" i="13" s="1"/>
  <c r="G71" i="13"/>
  <c r="K94" i="13" s="1"/>
  <c r="K93" i="13"/>
  <c r="Z12" i="13"/>
  <c r="G53" i="13" s="1"/>
  <c r="AF9" i="13"/>
  <c r="AH9" i="13" s="1"/>
  <c r="G57" i="13" s="1"/>
  <c r="S35" i="13" s="1"/>
  <c r="X20" i="13"/>
  <c r="X22" i="13"/>
  <c r="X21" i="13"/>
  <c r="L21" i="13"/>
  <c r="L20" i="13"/>
  <c r="R19" i="13"/>
  <c r="G45" i="13"/>
  <c r="I42" i="13" s="1"/>
  <c r="I62" i="13" s="1"/>
  <c r="AF8" i="13" l="1"/>
  <c r="AF12" i="13" s="1"/>
  <c r="G48" i="13"/>
  <c r="K47" i="13" s="1"/>
  <c r="E24" i="6"/>
  <c r="D5" i="6" s="1"/>
  <c r="L109" i="13"/>
  <c r="C28" i="11"/>
  <c r="D28" i="11" s="1"/>
  <c r="E36" i="11"/>
  <c r="C23" i="7"/>
  <c r="D23" i="7" s="1"/>
  <c r="E23" i="7" s="1"/>
  <c r="F23" i="7" s="1"/>
  <c r="G23" i="7" s="1"/>
  <c r="I69" i="13"/>
  <c r="I98" i="13" s="1"/>
  <c r="C15" i="11"/>
  <c r="D15" i="11" s="1"/>
  <c r="E15" i="11" s="1"/>
  <c r="N107" i="13"/>
  <c r="N105" i="13"/>
  <c r="C29" i="11"/>
  <c r="D29" i="11" s="1"/>
  <c r="E29" i="11" s="1"/>
  <c r="N106" i="13"/>
  <c r="K52" i="13"/>
  <c r="X12" i="13"/>
  <c r="G50" i="13" s="1"/>
  <c r="S75" i="13" s="1"/>
  <c r="U74" i="13" s="1"/>
  <c r="AH8" i="13" l="1"/>
  <c r="AH12" i="13" s="1"/>
  <c r="G24" i="6"/>
  <c r="F5" i="6" s="1"/>
  <c r="F24" i="6"/>
  <c r="E5" i="6" s="1"/>
  <c r="N109" i="13"/>
  <c r="C6" i="7"/>
  <c r="C42" i="11" s="1"/>
  <c r="E28" i="11"/>
  <c r="E30" i="11" s="1"/>
  <c r="C21" i="7" s="1"/>
  <c r="D30" i="11"/>
  <c r="E17" i="11"/>
  <c r="B6" i="6" s="1"/>
  <c r="C27" i="6"/>
  <c r="D27" i="6" s="1"/>
  <c r="D16" i="11"/>
  <c r="S70" i="13"/>
  <c r="U69" i="13" s="1"/>
  <c r="U78" i="13" s="1"/>
  <c r="G56" i="13"/>
  <c r="S34" i="13" s="1"/>
  <c r="S33" i="13" s="1"/>
  <c r="U32" i="13" s="1"/>
  <c r="S40" i="13" s="1"/>
  <c r="K49" i="13"/>
  <c r="D21" i="7" l="1"/>
  <c r="C5" i="7" s="1"/>
  <c r="B5" i="7"/>
  <c r="B40" i="11"/>
  <c r="B8" i="6"/>
  <c r="B18" i="9" s="1"/>
  <c r="C6" i="6"/>
  <c r="E35" i="11"/>
  <c r="E27" i="6"/>
  <c r="D6" i="6" s="1"/>
  <c r="B47" i="11"/>
  <c r="B49" i="11" s="1"/>
  <c r="B7" i="2"/>
  <c r="D6" i="7"/>
  <c r="D42" i="11" s="1"/>
  <c r="W76" i="13"/>
  <c r="W78" i="13" s="1"/>
  <c r="X86" i="13" s="1"/>
  <c r="G55" i="13"/>
  <c r="K98" i="13"/>
  <c r="G59" i="13"/>
  <c r="E21" i="7" l="1"/>
  <c r="D40" i="11"/>
  <c r="D8" i="6"/>
  <c r="C40" i="11"/>
  <c r="C8" i="6"/>
  <c r="B7" i="7"/>
  <c r="B41" i="11"/>
  <c r="B43" i="11" s="1"/>
  <c r="B8" i="2"/>
  <c r="C7" i="2" s="1"/>
  <c r="B6" i="8"/>
  <c r="E6" i="7"/>
  <c r="E42" i="11" s="1"/>
  <c r="F6" i="7"/>
  <c r="F42" i="11" s="1"/>
  <c r="C41" i="11"/>
  <c r="F27" i="6"/>
  <c r="E6" i="6" s="1"/>
  <c r="K54" i="13"/>
  <c r="K62" i="13" s="1"/>
  <c r="B8" i="8" l="1"/>
  <c r="B10" i="12"/>
  <c r="B11" i="12" s="1"/>
  <c r="C6" i="8"/>
  <c r="C5" i="2"/>
  <c r="F21" i="7"/>
  <c r="D5" i="7"/>
  <c r="D41" i="11" s="1"/>
  <c r="E40" i="11"/>
  <c r="E8" i="6"/>
  <c r="B15" i="12"/>
  <c r="B17" i="9"/>
  <c r="B19" i="9" s="1"/>
  <c r="B21" i="9" s="1"/>
  <c r="B7" i="9"/>
  <c r="C12" i="1"/>
  <c r="B5" i="3" s="1"/>
  <c r="B7" i="8"/>
  <c r="B17" i="8" s="1"/>
  <c r="C6" i="2"/>
  <c r="C8" i="2" s="1"/>
  <c r="C43" i="11"/>
  <c r="C7" i="7"/>
  <c r="C8" i="8" s="1"/>
  <c r="C18" i="9"/>
  <c r="C7" i="8"/>
  <c r="G27" i="6"/>
  <c r="F6" i="6" s="1"/>
  <c r="S77" i="13"/>
  <c r="B21" i="12" l="1"/>
  <c r="B18" i="12"/>
  <c r="B20" i="12" s="1"/>
  <c r="B16" i="12"/>
  <c r="B22" i="12"/>
  <c r="C14" i="10"/>
  <c r="B13" i="9"/>
  <c r="C17" i="8"/>
  <c r="C9" i="8"/>
  <c r="C11" i="8" s="1"/>
  <c r="C12" i="8" s="1"/>
  <c r="C17" i="9"/>
  <c r="C19" i="9" s="1"/>
  <c r="C21" i="9" s="1"/>
  <c r="B8" i="9"/>
  <c r="B9" i="9" s="1"/>
  <c r="G21" i="7"/>
  <c r="F5" i="7" s="1"/>
  <c r="F41" i="11" s="1"/>
  <c r="E5" i="7"/>
  <c r="E41" i="11" s="1"/>
  <c r="B6" i="3"/>
  <c r="D11" i="3" s="1"/>
  <c r="B14" i="10"/>
  <c r="F40" i="11"/>
  <c r="F8" i="6"/>
  <c r="B9" i="8"/>
  <c r="D43" i="11"/>
  <c r="D7" i="7"/>
  <c r="D15" i="12" s="1"/>
  <c r="C15" i="12"/>
  <c r="D18" i="9"/>
  <c r="D6" i="8"/>
  <c r="D7" i="8" s="1"/>
  <c r="D17" i="8" l="1"/>
  <c r="B7" i="3"/>
  <c r="C5" i="3" s="1"/>
  <c r="B11" i="8"/>
  <c r="B12" i="8" s="1"/>
  <c r="B18" i="8"/>
  <c r="B11" i="3"/>
  <c r="B5" i="4" s="1"/>
  <c r="D5" i="4" s="1"/>
  <c r="D22" i="12"/>
  <c r="D21" i="12"/>
  <c r="D16" i="12"/>
  <c r="D18" i="12"/>
  <c r="D20" i="12" s="1"/>
  <c r="C18" i="12"/>
  <c r="C20" i="12" s="1"/>
  <c r="C16" i="12"/>
  <c r="C21" i="12"/>
  <c r="C22" i="12"/>
  <c r="B14" i="3"/>
  <c r="D8" i="8"/>
  <c r="D9" i="8" s="1"/>
  <c r="D11" i="8" s="1"/>
  <c r="D12" i="8" s="1"/>
  <c r="D17" i="9"/>
  <c r="D19" i="9" s="1"/>
  <c r="D21" i="9" s="1"/>
  <c r="C18" i="8"/>
  <c r="C13" i="8"/>
  <c r="C19" i="8" s="1"/>
  <c r="F43" i="11"/>
  <c r="F7" i="7"/>
  <c r="F8" i="8" s="1"/>
  <c r="F6" i="8"/>
  <c r="F7" i="8" s="1"/>
  <c r="F17" i="8" s="1"/>
  <c r="F18" i="9"/>
  <c r="E7" i="7"/>
  <c r="E43" i="11"/>
  <c r="E18" i="9"/>
  <c r="E6" i="8"/>
  <c r="E7" i="8" s="1"/>
  <c r="F17" i="9" l="1"/>
  <c r="C6" i="3"/>
  <c r="C7" i="3" s="1"/>
  <c r="B13" i="8"/>
  <c r="E17" i="8"/>
  <c r="B9" i="10"/>
  <c r="D9" i="10" s="1"/>
  <c r="C12" i="4"/>
  <c r="C34" i="4"/>
  <c r="C21" i="4"/>
  <c r="B15" i="3"/>
  <c r="B16" i="3" s="1"/>
  <c r="C25" i="4"/>
  <c r="C32" i="4"/>
  <c r="C18" i="4"/>
  <c r="C27" i="4"/>
  <c r="C13" i="4"/>
  <c r="C31" i="4"/>
  <c r="C6" i="4"/>
  <c r="C29" i="4"/>
  <c r="C39" i="4"/>
  <c r="C8" i="4"/>
  <c r="C15" i="4"/>
  <c r="C28" i="4"/>
  <c r="C38" i="4"/>
  <c r="C14" i="4"/>
  <c r="C7" i="4"/>
  <c r="C19" i="4"/>
  <c r="C20" i="4"/>
  <c r="C9" i="4"/>
  <c r="C11" i="4"/>
  <c r="C17" i="4"/>
  <c r="C33" i="4"/>
  <c r="C23" i="4"/>
  <c r="C35" i="4"/>
  <c r="C36" i="4"/>
  <c r="C24" i="4"/>
  <c r="C10" i="4"/>
  <c r="C40" i="4"/>
  <c r="C30" i="4"/>
  <c r="C5" i="4"/>
  <c r="C37" i="4"/>
  <c r="C22" i="4"/>
  <c r="C16" i="4"/>
  <c r="C26" i="4"/>
  <c r="D13" i="8"/>
  <c r="D18" i="8"/>
  <c r="F9" i="8"/>
  <c r="F11" i="8" s="1"/>
  <c r="F12" i="8" s="1"/>
  <c r="F15" i="12"/>
  <c r="D5" i="9"/>
  <c r="E15" i="12"/>
  <c r="E17" i="9"/>
  <c r="E19" i="9" s="1"/>
  <c r="E21" i="9" s="1"/>
  <c r="E8" i="8"/>
  <c r="E9" i="8" s="1"/>
  <c r="E11" i="8" s="1"/>
  <c r="E12" i="8" s="1"/>
  <c r="F19" i="9"/>
  <c r="F21" i="9" s="1"/>
  <c r="D8" i="9" l="1"/>
  <c r="B16" i="10" s="1"/>
  <c r="D19" i="8"/>
  <c r="E5" i="9"/>
  <c r="E8" i="9" s="1"/>
  <c r="B17" i="10" s="1"/>
  <c r="C5" i="9"/>
  <c r="C8" i="9" s="1"/>
  <c r="B19" i="8"/>
  <c r="E13" i="8"/>
  <c r="E19" i="8" s="1"/>
  <c r="E18" i="8"/>
  <c r="F18" i="8"/>
  <c r="F13" i="8"/>
  <c r="F19" i="8" s="1"/>
  <c r="E22" i="12"/>
  <c r="E21" i="12"/>
  <c r="E16" i="12"/>
  <c r="E18" i="12"/>
  <c r="E20" i="12" s="1"/>
  <c r="F16" i="12"/>
  <c r="F21" i="12"/>
  <c r="F22" i="12"/>
  <c r="F18" i="12"/>
  <c r="F20" i="12" s="1"/>
  <c r="C41" i="4"/>
  <c r="E5" i="4"/>
  <c r="F5" i="4" s="1"/>
  <c r="B6" i="4" s="1"/>
  <c r="D6" i="4" s="1"/>
  <c r="E6" i="4" s="1"/>
  <c r="F6" i="4" s="1"/>
  <c r="B7" i="4" s="1"/>
  <c r="D7" i="4" s="1"/>
  <c r="E7" i="4" s="1"/>
  <c r="C9" i="9" l="1"/>
  <c r="D9" i="9" s="1"/>
  <c r="E9" i="9" s="1"/>
  <c r="B15" i="10"/>
  <c r="G5" i="9"/>
  <c r="G8" i="9" s="1"/>
  <c r="B19" i="10" s="1"/>
  <c r="F5" i="9"/>
  <c r="F8" i="9" s="1"/>
  <c r="B18" i="10" s="1"/>
  <c r="F7" i="4"/>
  <c r="B8" i="4" s="1"/>
  <c r="B6" i="10" l="1"/>
  <c r="D6" i="10" s="1"/>
  <c r="B7" i="10"/>
  <c r="F9" i="9"/>
  <c r="G9" i="9" s="1"/>
  <c r="B8" i="10" s="1"/>
  <c r="D8" i="4"/>
  <c r="B24" i="10" l="1"/>
  <c r="D7" i="10"/>
  <c r="B25" i="10"/>
  <c r="D8" i="10"/>
  <c r="E8" i="4"/>
  <c r="F8" i="4" l="1"/>
  <c r="B9" i="4" s="1"/>
  <c r="D9" i="4" l="1"/>
  <c r="E9" i="4" s="1"/>
  <c r="F9" i="4" l="1"/>
  <c r="B10" i="4" s="1"/>
  <c r="D10" i="4" l="1"/>
  <c r="E10" i="4" s="1"/>
  <c r="F10" i="4" s="1"/>
  <c r="B11" i="4" s="1"/>
  <c r="D11" i="4" l="1"/>
  <c r="E11" i="4" s="1"/>
  <c r="F11" i="4" s="1"/>
  <c r="B12" i="4" s="1"/>
  <c r="D12" i="4" l="1"/>
  <c r="E12" i="4" s="1"/>
  <c r="F12" i="4" s="1"/>
  <c r="B13" i="4" s="1"/>
  <c r="D13" i="4" l="1"/>
  <c r="E13" i="4" s="1"/>
  <c r="F13" i="4" s="1"/>
  <c r="B14" i="4" s="1"/>
  <c r="D14" i="4" l="1"/>
  <c r="E14" i="4" s="1"/>
  <c r="F14" i="4" s="1"/>
  <c r="B15" i="4" s="1"/>
  <c r="D15" i="4" l="1"/>
  <c r="E15" i="4" s="1"/>
  <c r="F15" i="4" s="1"/>
  <c r="B16" i="4" s="1"/>
  <c r="D16" i="4" l="1"/>
  <c r="E16" i="4" s="1"/>
  <c r="F16" i="4" s="1"/>
  <c r="B17" i="4" s="1"/>
  <c r="D17" i="4" l="1"/>
  <c r="E17" i="4" s="1"/>
  <c r="F17" i="4" s="1"/>
  <c r="B18" i="4" s="1"/>
  <c r="D18" i="4" l="1"/>
  <c r="E18" i="4" s="1"/>
  <c r="F18" i="4" s="1"/>
  <c r="B19" i="4" s="1"/>
  <c r="D19" i="4" l="1"/>
  <c r="E19" i="4" s="1"/>
  <c r="F19" i="4" s="1"/>
  <c r="B20" i="4" s="1"/>
  <c r="D20" i="4" l="1"/>
  <c r="E20" i="4" s="1"/>
  <c r="F20" i="4" s="1"/>
  <c r="B21" i="4" s="1"/>
  <c r="D21" i="4" l="1"/>
  <c r="E21" i="4" s="1"/>
  <c r="F21" i="4" s="1"/>
  <c r="B22" i="4" s="1"/>
  <c r="D22" i="4" l="1"/>
  <c r="E22" i="4" s="1"/>
  <c r="F22" i="4" s="1"/>
  <c r="B23" i="4" s="1"/>
  <c r="D23" i="4" l="1"/>
  <c r="E23" i="4" s="1"/>
  <c r="F23" i="4" s="1"/>
  <c r="B24" i="4" s="1"/>
  <c r="D24" i="4" l="1"/>
  <c r="E24" i="4" s="1"/>
  <c r="F24" i="4" s="1"/>
  <c r="B25" i="4" s="1"/>
  <c r="D25" i="4" l="1"/>
  <c r="E25" i="4" s="1"/>
  <c r="F25" i="4" s="1"/>
  <c r="B26" i="4" s="1"/>
  <c r="D26" i="4" l="1"/>
  <c r="E26" i="4" s="1"/>
  <c r="F26" i="4" s="1"/>
  <c r="B27" i="4" s="1"/>
  <c r="D27" i="4" l="1"/>
  <c r="E27" i="4" s="1"/>
  <c r="F27" i="4" s="1"/>
  <c r="B28" i="4" s="1"/>
  <c r="D28" i="4" l="1"/>
  <c r="E28" i="4" s="1"/>
  <c r="F28" i="4" s="1"/>
  <c r="B29" i="4" s="1"/>
  <c r="D29" i="4" l="1"/>
  <c r="E29" i="4" s="1"/>
  <c r="F29" i="4" s="1"/>
  <c r="B30" i="4" s="1"/>
  <c r="D30" i="4" l="1"/>
  <c r="E30" i="4" s="1"/>
  <c r="F30" i="4" s="1"/>
  <c r="B31" i="4" s="1"/>
  <c r="D31" i="4" l="1"/>
  <c r="E31" i="4" s="1"/>
  <c r="F31" i="4" s="1"/>
  <c r="B32" i="4" s="1"/>
  <c r="D32" i="4" l="1"/>
  <c r="E32" i="4" s="1"/>
  <c r="F32" i="4" s="1"/>
  <c r="B33" i="4" s="1"/>
  <c r="D33" i="4" l="1"/>
  <c r="E33" i="4" s="1"/>
  <c r="F33" i="4" s="1"/>
  <c r="B34" i="4" s="1"/>
  <c r="D34" i="4" l="1"/>
  <c r="E34" i="4" s="1"/>
  <c r="F34" i="4" s="1"/>
  <c r="B35" i="4" s="1"/>
  <c r="D35" i="4" l="1"/>
  <c r="E35" i="4" s="1"/>
  <c r="F35" i="4" s="1"/>
  <c r="B36" i="4" s="1"/>
  <c r="D36" i="4" l="1"/>
  <c r="E36" i="4" s="1"/>
  <c r="F36" i="4" s="1"/>
  <c r="B37" i="4" s="1"/>
  <c r="D37" i="4" l="1"/>
  <c r="E37" i="4" s="1"/>
  <c r="F37" i="4" s="1"/>
  <c r="B38" i="4" s="1"/>
  <c r="D38" i="4" l="1"/>
  <c r="E38" i="4" s="1"/>
  <c r="F38" i="4" s="1"/>
  <c r="B39" i="4" s="1"/>
  <c r="D39" i="4" l="1"/>
  <c r="E39" i="4" s="1"/>
  <c r="F39" i="4" s="1"/>
  <c r="B40" i="4" s="1"/>
  <c r="D40" i="4" l="1"/>
  <c r="E40" i="4" l="1"/>
  <c r="D41" i="4"/>
  <c r="E41" i="4" l="1"/>
  <c r="F40" i="4"/>
  <c r="W39" i="13"/>
  <c r="X85" i="13" s="1"/>
  <c r="X87" i="13" s="1"/>
</calcChain>
</file>

<file path=xl/sharedStrings.xml><?xml version="1.0" encoding="utf-8"?>
<sst xmlns="http://schemas.openxmlformats.org/spreadsheetml/2006/main" count="783" uniqueCount="627">
  <si>
    <t>PLAN DE NEGOCIO 2025 – MODELO FINANCIERO INTEGRAL</t>
  </si>
  <si>
    <t>TributoApp S.A.S. | Plataforma SaaS de Gestión Tributaria y Contable</t>
  </si>
  <si>
    <t>1. INFORMACIÓN GENERAL DEL PROYECTO</t>
  </si>
  <si>
    <t>Razón Social:</t>
  </si>
  <si>
    <t>TributoApp S.A.S.</t>
  </si>
  <si>
    <t>Sector Económico:</t>
  </si>
  <si>
    <t>Tecnología / Software como Servicio (SaaS) / Servicios Tributarios</t>
  </si>
  <si>
    <t>Ubicación:</t>
  </si>
  <si>
    <t>Barranquilla, Atlantico Colombia</t>
  </si>
  <si>
    <t>Horizonte de Evaluación:</t>
  </si>
  <si>
    <t>5 Años (2025 - 2029)</t>
  </si>
  <si>
    <t>Moneda:</t>
  </si>
  <si>
    <t>Pesos Colombianos (COP)</t>
  </si>
  <si>
    <t>Tasa de Oportunidad (TIO):</t>
  </si>
  <si>
    <t>18.5% E.A.</t>
  </si>
  <si>
    <t>Inversión Inicial Total:</t>
  </si>
  <si>
    <t>2. ESTRUCTURA DE HOJAS Y VINCULACIÓN DE FÓRMULAS</t>
  </si>
  <si>
    <t>Hoja</t>
  </si>
  <si>
    <t>Numeral</t>
  </si>
  <si>
    <t>Descripción del Módulo</t>
  </si>
  <si>
    <t>Fórmulas Clave</t>
  </si>
  <si>
    <t>Inversion</t>
  </si>
  <si>
    <t>9.1</t>
  </si>
  <si>
    <t>Inversión Total (Activos Fijos, Intangibles y Capital de Trabajo)</t>
  </si>
  <si>
    <t>Suma de activos, % participación, subtotal</t>
  </si>
  <si>
    <t>Capital</t>
  </si>
  <si>
    <t>9.2</t>
  </si>
  <si>
    <t>Estructura y Costo de Capital (Recursos Propios + Crédito)</t>
  </si>
  <si>
    <t>Cálculo de cuota fija PMT, totales</t>
  </si>
  <si>
    <t>Credito</t>
  </si>
  <si>
    <t>9.3</t>
  </si>
  <si>
    <t>Tabla de Amortización Completa Crédito Bancario (36 meses)</t>
  </si>
  <si>
    <t>Intereses mensuales, abonos a capital, saldos</t>
  </si>
  <si>
    <t>Ingresos</t>
  </si>
  <si>
    <t>9.4</t>
  </si>
  <si>
    <t>Proyección de Ingresos a 5 Años por Plan de Suscripción</t>
  </si>
  <si>
    <t>Precios × mix de planes × usuarios × 12 meses</t>
  </si>
  <si>
    <t>Costos</t>
  </si>
  <si>
    <t>9.5</t>
  </si>
  <si>
    <t>Costos Operativos Proyectados (Materia Prima, MOD, CIF)</t>
  </si>
  <si>
    <t>Totales de costos y variaciones porcentuales</t>
  </si>
  <si>
    <t>Gastos</t>
  </si>
  <si>
    <t>9.6</t>
  </si>
  <si>
    <t>Gastos de Administración y Ventas + Nómina Proyectada</t>
  </si>
  <si>
    <t>Totales de gastos y headcount proyectado</t>
  </si>
  <si>
    <t>Est. Resultados</t>
  </si>
  <si>
    <t>9.7</t>
  </si>
  <si>
    <t>Estado de Resultados Proyectado a 5 Años</t>
  </si>
  <si>
    <t>Utilidad bruta, EBITDA, EBIT, Impuesto 35%, Utilidad Neta</t>
  </si>
  <si>
    <t>Flujo de Caja</t>
  </si>
  <si>
    <t>Flujo de Caja Libre Proyectado a 5 Años</t>
  </si>
  <si>
    <t>Flujo neto, flujo acumulado y Punto de Equilibrio</t>
  </si>
  <si>
    <t>Evaluacion</t>
  </si>
  <si>
    <t>10.1</t>
  </si>
  <si>
    <t>Indicadores de Rentabilidad y Conclusión Financiera</t>
  </si>
  <si>
    <t>VPN (NPV), TIR (IRR), Payback dinámico, B/C</t>
  </si>
  <si>
    <t>Punto de Equilibrio</t>
  </si>
  <si>
    <t>9.8</t>
  </si>
  <si>
    <t>Análisis Integral de Punto de Equilibrio en Unidades e Ingresos a 5 Años</t>
  </si>
  <si>
    <t>Cálculo de MCU, punto de equilibrio en usuarios y pesos, márgenes de seguridad</t>
  </si>
  <si>
    <t>9.1 INVERSIÓN TOTAL — TRIBUTOAPP S.A.S.</t>
  </si>
  <si>
    <t>RESUMEN GENERAL DE INVERSIÓN INICIAL</t>
  </si>
  <si>
    <t>Componente de Inversión</t>
  </si>
  <si>
    <t>Valor (COP)</t>
  </si>
  <si>
    <t>% del Total</t>
  </si>
  <si>
    <t>Fuente de Financiación</t>
  </si>
  <si>
    <t>Observaciones</t>
  </si>
  <si>
    <t>Activos Fijos (Equipos de Cómputo + Mobiliario)</t>
  </si>
  <si>
    <t>Recursos propios</t>
  </si>
  <si>
    <t>Ver detalle técnico en sección inferior</t>
  </si>
  <si>
    <t>Activos Intangibles / Nominales (Software, Registro, Licencias)</t>
  </si>
  <si>
    <t>Registro de marca, licencias de desarrollo y constitución</t>
  </si>
  <si>
    <t>Crédito + recursos propios</t>
  </si>
  <si>
    <t>TOTAL INVERSIÓN INICIAL</t>
  </si>
  <si>
    <t>100% Financiado</t>
  </si>
  <si>
    <t/>
  </si>
  <si>
    <t>DETALLE DE ACTIVOS FIJOS (ESTUDIO TÉCNICO)</t>
  </si>
  <si>
    <t>Descripción del Activo</t>
  </si>
  <si>
    <t>Cantidad</t>
  </si>
  <si>
    <t>Valor Unitario (COP)</t>
  </si>
  <si>
    <t>Valor Total (COP)</t>
  </si>
  <si>
    <t>Vida Útil (Años)</t>
  </si>
  <si>
    <t>Portatil Dell Intel Core i7-1355U Ram 32Gb SSD 1Tera 15.6" FHD Win 11</t>
  </si>
  <si>
    <t>Portatil ASUS P1412CEA - INTEL CORE I5 - SSD 256GB - 8GB RAM DDR4 - PANTALLA 14 FHD - Notebook</t>
  </si>
  <si>
    <t>Monitor Gamer UltraGear LG 24G411A 24 FHD IPS 144Hz 1ms</t>
  </si>
  <si>
    <t>Puestos de Trabajo (Escritorios + Sillas Ergonómicas)</t>
  </si>
  <si>
    <t>Equipo de Conectividad y Red (Router WiFi 6 + UPS)</t>
  </si>
  <si>
    <t>SUBTOTAL ACTIVOS FIJOS</t>
  </si>
  <si>
    <t>DETALLE DE ACTIVOS INTANGIBLES / GASTOS DE CONSTITUCIÓN</t>
  </si>
  <si>
    <t>Concepto Intangible</t>
  </si>
  <si>
    <t>Registro Mercantil y Constitución S.A.S. (Cámara de Comercio costo estimado)</t>
  </si>
  <si>
    <t>Formalización legal en Barranquilla</t>
  </si>
  <si>
    <t>Inscripción Registro Único Tributario (RUT - DIAN)</t>
  </si>
  <si>
    <t>Trámite digital sin costo</t>
  </si>
  <si>
    <t>Dominio Web (.co / .com.co) + Certificados SSL (1 Año)</t>
  </si>
  <si>
    <t>Infraestructura web principal</t>
  </si>
  <si>
    <t>Licenciamiento Base de Base de Datos Supabase Pro (1 Año)</t>
  </si>
  <si>
    <t>Suscripción anual base de backend</t>
  </si>
  <si>
    <t>Licenciamiento Base de Despliegue Vercel Pro (1 Año)</t>
  </si>
  <si>
    <t>Infraestructura de frontend y serverless</t>
  </si>
  <si>
    <t>Capacitaciones Técnicas y Especialización Tributaria (Actualicese)</t>
  </si>
  <si>
    <t>Entrenamiento en normativa tributaria 2025</t>
  </si>
  <si>
    <t>SUBTOTAL ACTIVOS INTANGIBLES</t>
  </si>
  <si>
    <t>5.5 CARGOS, ROLES Y PERFILES — NÓMINA PROYECTADA | TRIBUTOAPP S.A.S.</t>
  </si>
  <si>
    <t>Módulo 5 del Plan de Negocio | Vinculado con hojas Costos y Gastos para cálculo automático de MOD y Gastos de Administración/Ventas</t>
  </si>
  <si>
    <t>TABLA DE CARGOS, ROLES Y PERFILES — AÑO 1 (2025)</t>
  </si>
  <si>
    <t>Cargo</t>
  </si>
  <si>
    <t>Nivel</t>
  </si>
  <si>
    <t>Dependencia</t>
  </si>
  <si>
    <t>Requisitos Mínimos</t>
  </si>
  <si>
    <t>Funciones Principales</t>
  </si>
  <si>
    <t>Salario Mensual
(COP)</t>
  </si>
  <si>
    <t>Tipo de
Vinculación</t>
  </si>
  <si>
    <t>Clasificación
Contable</t>
  </si>
  <si>
    <t>Gerente General / CEO</t>
  </si>
  <si>
    <t>Junta de Socios</t>
  </si>
  <si>
    <t>Gasto Administrativo</t>
  </si>
  <si>
    <t>Líder de Tecnología / CTO</t>
  </si>
  <si>
    <t>Gerente General</t>
  </si>
  <si>
    <t>Técnico de Soporte TI</t>
  </si>
  <si>
    <t>Operativo</t>
  </si>
  <si>
    <t>CTO</t>
  </si>
  <si>
    <t>MOD (Costo)</t>
  </si>
  <si>
    <t>Ejecutivo Comercial / Soporte</t>
  </si>
  <si>
    <t>Gasto Ventas</t>
  </si>
  <si>
    <t>El Gerente y el CTO son socios fundadores. En el Año 1 toman salario reducido para preservar caja. La nómina total mensual del año 1 suma 11.250.000 COP Mensuales</t>
  </si>
  <si>
    <t>MANO DE OBRA DIRECTA (MOD) — VINCULADA A HOJA COSTOS</t>
  </si>
  <si>
    <t>Cargo MOD</t>
  </si>
  <si>
    <t>Cantidad
Personas</t>
  </si>
  <si>
    <t>Total Mensual
(COP)</t>
  </si>
  <si>
    <t>Total Anual
(COP)</t>
  </si>
  <si>
    <t>Técnico de Soporte TI (Desarrollador)</t>
  </si>
  <si>
    <t>TOTAL MOD MENSUAL AÑO 1</t>
  </si>
  <si>
    <t>TOTAL MOD ANUAL AÑO 1 (vincula a Costos!B5)</t>
  </si>
  <si>
    <t>COSTOS INDIRECTOS DE FABRICACIÓN (CIF) — VINCULADA A HOJA COSTOS</t>
  </si>
  <si>
    <t>Concepto CIF</t>
  </si>
  <si>
    <t>Costo Mensual
(COP)</t>
  </si>
  <si>
    <t>Costo Anual
(COP)</t>
  </si>
  <si>
    <t>Descripción</t>
  </si>
  <si>
    <t>TOTAL CIF MENSUAL AÑO 1</t>
  </si>
  <si>
    <t>TOTAL CIF ANUAL AÑO 1 (vincula a Costos!C5 — CIF)</t>
  </si>
  <si>
    <t>NÓMINA ADMINISTRATIVA Y COMERCIAL (GASTOS) — VINCULADA A HOJA GASTOS</t>
  </si>
  <si>
    <t>Tipo de Gasto</t>
  </si>
  <si>
    <t>Gerente General / CEO (Medio tiempo)</t>
  </si>
  <si>
    <t>Administración</t>
  </si>
  <si>
    <t>SUBTOTAL NÓMINA ADMINISTRATIVA MENSUAL</t>
  </si>
  <si>
    <t>Ventas</t>
  </si>
  <si>
    <t>SUBTOTAL NÓMINA VENTAS MENSUAL</t>
  </si>
  <si>
    <t>🔗 TOTAL NÓMINA ADMIN. ANUAL → Gastos de Administración Año 1</t>
  </si>
  <si>
    <t>🔗 TOTAL NÓMINA VENTAS ANUAL → Gastos de Ventas Año 1</t>
  </si>
  <si>
    <t>PROYECCIÓN DE NÓMINA TOTAL A 5 AÑOS (SEGÚN HEADCOUNT EN HOJA GASTOS)</t>
  </si>
  <si>
    <t>Concepto de Nómina</t>
  </si>
  <si>
    <t>Año 1 (COP)</t>
  </si>
  <si>
    <t>Año 2 (COP)</t>
  </si>
  <si>
    <t>Año 3 (COP)</t>
  </si>
  <si>
    <t>Año 4 (COP)</t>
  </si>
  <si>
    <t>Año 5 (COP)</t>
  </si>
  <si>
    <t>Nómina MOD (Técnicos — referenciada a Costos)</t>
  </si>
  <si>
    <t>Escala con headcount técnico de hoja Gastos</t>
  </si>
  <si>
    <t xml:space="preserve">Nómina Administrativa </t>
  </si>
  <si>
    <t>Gastos!B5</t>
  </si>
  <si>
    <t>Nómina Comercial y Ventas</t>
  </si>
  <si>
    <t>Gastos!B6</t>
  </si>
  <si>
    <t>TOTAL NÓMINA PROYECTADA ANUAL</t>
  </si>
  <si>
    <t xml:space="preserve">RESUMEN DE COSTOS DE PRODUCCIÓN AÑO 1 </t>
  </si>
  <si>
    <t>Materia Prima (Cloud — Supabase, Vercel, Resend, APIs)</t>
  </si>
  <si>
    <t>Mano de Obra Directa (MOD — Técnico Soporte TI)</t>
  </si>
  <si>
    <t>Costos Indirectos de Fabricación (CIF — Coworking + Servicios)</t>
  </si>
  <si>
    <t>= TOTAL COSTOS AÑO 1 (debe coincidir con Costos!B8)</t>
  </si>
  <si>
    <t>9.6 GASTOS OPERATIVOS PROYECTADOS — 5 AÑOS — TRIBUTOAPP S.A.S.</t>
  </si>
  <si>
    <t>GASTOS DE ADMINISTRACIÓN Y VENTAS</t>
  </si>
  <si>
    <t>Concepto de Gasto (COP)</t>
  </si>
  <si>
    <t>Año 1</t>
  </si>
  <si>
    <t>Año 2</t>
  </si>
  <si>
    <t>Año 3</t>
  </si>
  <si>
    <t>Año 4</t>
  </si>
  <si>
    <t>Año 5</t>
  </si>
  <si>
    <t>Gastos de Administración (Gerencia, Asesoría Legal y Contable)</t>
  </si>
  <si>
    <t>Gastos de Ventas y Mercadeo (Pauta Digital, Contenido, Afiliados)</t>
  </si>
  <si>
    <t>TOTAL GASTOS OPERATIVOS</t>
  </si>
  <si>
    <t>PROYECCIÓN DE EQUIPO DE TRABAJO</t>
  </si>
  <si>
    <t>Área / Cargo</t>
  </si>
  <si>
    <t>Año 1 (Personas)</t>
  </si>
  <si>
    <t>Año 2 (Personas)</t>
  </si>
  <si>
    <t>Año 3 (Personas)</t>
  </si>
  <si>
    <t>Año 4 (Personas)</t>
  </si>
  <si>
    <t>Año 5 (Personas)</t>
  </si>
  <si>
    <t>TOTAL PERSONAL PROYECTADO</t>
  </si>
  <si>
    <t>PARÁMETROS Y JUSTIFICACIÓN DEL INCREMENTO ANUAL DE GASTOS (AÑOS 2-5)</t>
  </si>
  <si>
    <t>Parámetro de Gasto</t>
  </si>
  <si>
    <t>Justificación del Incremento Interanual</t>
  </si>
  <si>
    <t>Año 1 (Base Validada)</t>
  </si>
  <si>
    <t>Salario mensual promedio Admin (COP/mes/persona) → Fila 5</t>
  </si>
  <si>
    <t>Presupuesto mensual Ventas y Marketing (COP/mes) → Fila 6</t>
  </si>
  <si>
    <t>Nómina comercial + inversión publicitaria mensual: Año 1 ($1.75M/mes = $21M/año), Año 2 ($2.10M/mes = $25.2M/año), Año 3 ($3.00M/mes = $36.0M/año), Año 4 ($4.33M/mes = $52.0M/año), Año 5 ($6.00M/mes = $72.0M/año).</t>
  </si>
  <si>
    <t>FILA 5 — Admin</t>
  </si>
  <si>
    <t>= Personas_admin (fila 20) * Salario_promedio (fila 21) * 12 meses | Sube: $90.0M -&gt; $95.4M -&gt; $105.0M -&gt; $120.0M -&gt; $140.0M (+IPC y asesorías)</t>
  </si>
  <si>
    <t>FILA 6 — Ventas</t>
  </si>
  <si>
    <t>= Presupuesto_mensual_ventas (fila 23) * 12 meses | Sube: $21.0M -&gt; $25.2M -&gt; $36.0M -&gt; $52.0M -&gt; $72.0M (ejecutivos + pauta digital)</t>
  </si>
  <si>
    <t>TOTAL GASTOS</t>
  </si>
  <si>
    <t>= SUM(Filas 5:6) | Sube estrictamente: $111.0M -&gt; $120.6M -&gt; $141.0M -&gt; $172.0M -&gt; $212.0M por año</t>
  </si>
  <si>
    <t>9.5 COSTOS PROYECTADOS — 5 AÑOS — TRIBUTOAPP S.A.S.</t>
  </si>
  <si>
    <t>ESTRUCTURA DE COSTOS DIRECTOS DE PRODUCCIÓN Y SERVICIO</t>
  </si>
  <si>
    <t>Elemento del Costo (COP)</t>
  </si>
  <si>
    <t>Materia Prima e Insumos Cloud (Supabase, Vercel, Resend, APIs)</t>
  </si>
  <si>
    <t>Mano de Obra Directa (MOD - Desarrolladores y Soporte Técnico)</t>
  </si>
  <si>
    <t>Costos Indirectos de Fabricación (CIF - Coworking, Servidores, Servicios)</t>
  </si>
  <si>
    <t>TOTAL COSTOS DIRECTOS DE PRODUCCIÓN</t>
  </si>
  <si>
    <t>DETALLE MENSUAL INSUMOS CLOUD (MATERIA PRIMA AÑO 1)</t>
  </si>
  <si>
    <t>Servicio de Infraestructura Cloud</t>
  </si>
  <si>
    <t>Costo Mensual (USD)</t>
  </si>
  <si>
    <t>TRM Referencia 16 agosto 2026</t>
  </si>
  <si>
    <t>Costo Mensual (COP)</t>
  </si>
  <si>
    <t>Costo Anual Año 1 (COP)</t>
  </si>
  <si>
    <t>Supabase Pro (PostgreSQL + Auth + Storage)</t>
  </si>
  <si>
    <t>Base de datos escalable en la nube</t>
  </si>
  <si>
    <t>Vercel Pro (Next.js Edge Hosting + CDN)</t>
  </si>
  <si>
    <t>Frontend global con baja latencia</t>
  </si>
  <si>
    <t>Resend (Email Transaccional + Alertas)</t>
  </si>
  <si>
    <t>Envío masivo de recordatorios y reportes</t>
  </si>
  <si>
    <t>Costos IA apoyo (Claude, Gemini y Chat GPT)</t>
  </si>
  <si>
    <t>Apoyo Empesarial y mantenimiento App</t>
  </si>
  <si>
    <t>Costos Imprevistos</t>
  </si>
  <si>
    <t>Costos que pueden surgir en el negocio no presupuestados</t>
  </si>
  <si>
    <t>TOTAL CLOUD AÑO 1</t>
  </si>
  <si>
    <t>METODOLOGÍA DE ESCALAMIENTO: Todos los costos crecen anualmente de forma ascendente a partir del Año 1: (1) Materia Prima Cloud crece por mayor consumo de base de datos, APIs de IA y storage al pasar de 150 a 2.000 usuarios. (2) MOD crece por expansión del equipo técnico (de 1 a 4 técnicos) y ajustes salariales. (3) CIF crece por ampliación de puestos de coworking y servicios de conectividad.</t>
  </si>
  <si>
    <t>Parámetro de Costo</t>
  </si>
  <si>
    <t>Usuarios activos promedio/mes</t>
  </si>
  <si>
    <t>Fuente: Hoja Ingresos!B12:B16. Crecimiento de base instalada: 150 -&gt; 375 -&gt; 750 -&gt; 1.350 -&gt; 2.000 usuarios/mes.</t>
  </si>
  <si>
    <t>Base fija infraestructura cloud (COP/mes)</t>
  </si>
  <si>
    <t>Planes base de backend y hosting: Año 1 ($538K/mes = $172 USD x TRM), Año 2 ($583K/mes Pro), Año 3 ($875K/mes Business), Años 4-5 ($1.25M/mes Enterprise SLA).</t>
  </si>
  <si>
    <t>Base cloud ANUAL (COP/año) [= mensual x 12] → Fila 5</t>
  </si>
  <si>
    <t>Fórmula: =C23*12. Costo fijo anual de licenciamiento de servidores e infraestructura cloud.</t>
  </si>
  <si>
    <t>Costo variable cloud por usuario/año (COP) → Fila 5</t>
  </si>
  <si>
    <t>Técnicos MOD — Cantidad de personas → Fila 6</t>
  </si>
  <si>
    <t>Equipo técnico escala progresivamente: Año 1=1 (validado), Año 2=1 (técnico sénior ajustado), Año 3=2 (desarrollador + soporte), Año 4=3, Año 5=4.</t>
  </si>
  <si>
    <t>Salario mensual promedio técnico MOD (COP/mes) → Fila 6</t>
  </si>
  <si>
    <t>Año 1: =Nomina!E17/12 = $2.000.000/mes. Año 2: $2.400.000/mes (+20% por experiencia y mayor carga). Años 3-5: $2.000.000/mes por persona (equipo diversificado).</t>
  </si>
  <si>
    <t>CIF mensual (coworking + servicios) (COP/mes) → Fila 7</t>
  </si>
  <si>
    <t>FILA 5 — MP Cloud</t>
  </si>
  <si>
    <t>= Base_cloud_ANUAL (fila 24) + Usuarios_mes (fila 22) * Costo_variable/usuario (fila 25) | Sube: $6.46M -&gt; $8.50M -&gt; $14.50M -&gt; $22.50M -&gt; $32.00M</t>
  </si>
  <si>
    <t>FILA 6 — MOD</t>
  </si>
  <si>
    <t>= Cantidad_técnicos (fila 26) * Salario_mensual (fila 27) * 12 meses | Sube: $24.0M -&gt; $28.8M -&gt; $48.0M -&gt; $72.0M -&gt; $96.0M</t>
  </si>
  <si>
    <t>FILA 7 — CIF</t>
  </si>
  <si>
    <t>= CIF_mensual (fila 28) * 12 meses | Sube: $13.44M -&gt; $14.40M -&gt; $18.00M -&gt; $24.00M -&gt; $30.00M</t>
  </si>
  <si>
    <t>9.2 ESTRUCTURA Y COSTO DE CAPITAL — TRIBUTOAPP S.A.S.</t>
  </si>
  <si>
    <t>FUENTES DE FINANCIACIÓN DEL PROYECTO</t>
  </si>
  <si>
    <t>Fuente de Capital</t>
  </si>
  <si>
    <t>Monto (COP)</t>
  </si>
  <si>
    <t>% Participación</t>
  </si>
  <si>
    <t>Costo de la Fuente</t>
  </si>
  <si>
    <t>Recursos Propios de los Socios Fundadores</t>
  </si>
  <si>
    <t>0.0% (Aporte directo)</t>
  </si>
  <si>
    <t>Aporte en especie (equipos) y efectivo</t>
  </si>
  <si>
    <t>Crédito Bancario (Línea Fintech / Microcrédito)</t>
  </si>
  <si>
    <t>1,35% mensual (17,59% E.A.)</t>
  </si>
  <si>
    <t>Financiación bancaria a 36 meses</t>
  </si>
  <si>
    <t>TOTAL ESTRUCTURA DE CAPITAL</t>
  </si>
  <si>
    <t>100% de la inversión cubierta</t>
  </si>
  <si>
    <t>PARÁMETROS CENTRALIZADOS DEL CRÉDITO (VINCULADOS A HOJA CRÉDITO)</t>
  </si>
  <si>
    <t>Parámetro</t>
  </si>
  <si>
    <t>Valor</t>
  </si>
  <si>
    <t>Unidad</t>
  </si>
  <si>
    <t>Fórmula / Función Excel</t>
  </si>
  <si>
    <t>Monto del Crédito (Valor Presente)</t>
  </si>
  <si>
    <t>COP</t>
  </si>
  <si>
    <t>Tomado de la estructura de capital</t>
  </si>
  <si>
    <t>Tasa de Interés Mensual</t>
  </si>
  <si>
    <t>Mensual Vencido</t>
  </si>
  <si>
    <t>Tasa vigente Bancolombia</t>
  </si>
  <si>
    <t>2.0% nominal mensual</t>
  </si>
  <si>
    <t>Plazo de Amortización</t>
  </si>
  <si>
    <t>Meses</t>
  </si>
  <si>
    <t>Tiempo de pago</t>
  </si>
  <si>
    <t>3 años de plazo</t>
  </si>
  <si>
    <t>Cuota Fija Mensual (Función PMT)</t>
  </si>
  <si>
    <t>COP / mes</t>
  </si>
  <si>
    <t>=PMT(B12,B13,-B11)</t>
  </si>
  <si>
    <t>Cuota mensual fija uniforme</t>
  </si>
  <si>
    <t>Total Pagado por el Crédito</t>
  </si>
  <si>
    <t>=B14*B13</t>
  </si>
  <si>
    <t>Capital + Intereses totales</t>
  </si>
  <si>
    <t>Total Intereses Financieros</t>
  </si>
  <si>
    <t>=B15-B11</t>
  </si>
  <si>
    <t>Costo financiero total del crédito</t>
  </si>
  <si>
    <t>TABLA COMPLETA DE AMORTIZACIÓN — 36 MESES (VINCULADA A HOJA CAPITAL)</t>
  </si>
  <si>
    <t>Período (Mes)</t>
  </si>
  <si>
    <t>Saldo Inicial (COP)</t>
  </si>
  <si>
    <t>Cuota Fija Mensual (COP)</t>
  </si>
  <si>
    <t>Interés (1,35%) (COP)</t>
  </si>
  <si>
    <t>Abono a Capital (COP)</t>
  </si>
  <si>
    <t>Saldo Final (COP)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</si>
  <si>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</si>
  <si>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</si>
  <si>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</si>
  <si>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</si>
  <si>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</si>
  <si>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</si>
  <si>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</si>
  <si>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</si>
  <si>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</si>
  <si>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</si>
  <si>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</si>
  <si>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</si>
  <si>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</si>
  <si>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</si>
  <si>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</si>
  <si>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</si>
  <si>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</si>
  <si>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</si>
  <si>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</si>
  <si>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</si>
  <si>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</si>
  <si>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</si>
  <si>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</si>
  <si>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</si>
  <si>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</si>
  <si>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</si>
  <si>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</si>
  <si>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</si>
  <si>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</si>
  <si>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</si>
  <si>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</si>
  <si>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</si>
  <si>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</si>
  <si>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</si>
  <si>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</si>
  <si>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</si>
  <si>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TOTALES AMORTIZACIÓN</t>
  </si>
  <si>
    <t>9.4 INGRESOS PROYECTADOS — 5 AÑOS — TRIBUTOAPP S.A.S.</t>
  </si>
  <si>
    <t>PARÁMETROS DE PRECIOS POR PLAN Y MIX DE CLIENTES (EDITABLES)</t>
  </si>
  <si>
    <t>Plan de Suscripción</t>
  </si>
  <si>
    <t>Precio Mensual (COP)</t>
  </si>
  <si>
    <t>% Mix Estimado de venta del servicio</t>
  </si>
  <si>
    <t>Ticket Promedio Ponderado</t>
  </si>
  <si>
    <t>Descripción del Plan</t>
  </si>
  <si>
    <t>Plan Básico</t>
  </si>
  <si>
    <t>Alertas tributarias + calendario + 1 declaración sugerida</t>
  </si>
  <si>
    <t>Plan Pro</t>
  </si>
  <si>
    <t>OCR ilimitado + cálculo deducciones + soporte IA + 3 declaraciones</t>
  </si>
  <si>
    <t>Plan Empresarial / Contador</t>
  </si>
  <si>
    <t>Multi-usuario + hasta 20 declaraciones + exportación contable</t>
  </si>
  <si>
    <t>TOTAL / PROMEDIO PONDERADO</t>
  </si>
  <si>
    <t>PROYECCIÓN ANUAL DE INGRESOS (5 AÑOS)</t>
  </si>
  <si>
    <t>Año de Proyección</t>
  </si>
  <si>
    <t>Usuarios/Mes Promedio</t>
  </si>
  <si>
    <t>Ingresos Plan Básico (COP)</t>
  </si>
  <si>
    <t>Ingresos Plan Pro (COP)</t>
  </si>
  <si>
    <t>Ingresos Plan Empresarial (COP)</t>
  </si>
  <si>
    <t>INGRESOS TOTALES ANUALES (COP)</t>
  </si>
  <si>
    <t>TASAS DE CRECIMIENTO INTERANUAL</t>
  </si>
  <si>
    <t>Período</t>
  </si>
  <si>
    <t>Crecimiento en Usuarios (%)</t>
  </si>
  <si>
    <t>Crecimiento en Ingresos (%)</t>
  </si>
  <si>
    <t>De Año 1 a Año 2</t>
  </si>
  <si>
    <t>De Año 2 a Año 3</t>
  </si>
  <si>
    <t>De Año 3 a Año 4</t>
  </si>
  <si>
    <t>De Año 4 a Año 5</t>
  </si>
  <si>
    <t>9.7 ESTADO DE RESULTADOS PROYECTADO — 5 AÑOS (COP) — TRIBUTOAPP S.A.S.</t>
  </si>
  <si>
    <t>ESTADO DE RESULTADOS INTEGRAL (VINCULADO A INGRESOS, COSTOS Y GASTOS)</t>
  </si>
  <si>
    <t>Rubro Contable / Financiero (COP)</t>
  </si>
  <si>
    <t>(+) Ingresos Operacionales</t>
  </si>
  <si>
    <t>(-) Costos del Servicio y Producción</t>
  </si>
  <si>
    <t>(=) Utilidad Bruta</t>
  </si>
  <si>
    <t>(-) Gastos de Operación (Administración y Ventas)</t>
  </si>
  <si>
    <t>(-) Depreciación Activos Fijos (Línea Recta 5 años)</t>
  </si>
  <si>
    <t>(=) Utilidad Antes de Impuestos (EBIT)</t>
  </si>
  <si>
    <t>(-) Impuesto de Renta Proyectado (35%)</t>
  </si>
  <si>
    <t>(=) UTILIDAD NETA DEL EJERCICIO</t>
  </si>
  <si>
    <t>MÁRGENES DE RENTABILIDAD FINANCIERA</t>
  </si>
  <si>
    <t>Indicador de Margen</t>
  </si>
  <si>
    <t>Margen Bruto (%)</t>
  </si>
  <si>
    <t>Margen Operativo EBITDA (%)</t>
  </si>
  <si>
    <t>Margen Neto de Utilidad (%)</t>
  </si>
  <si>
    <t>9.7 FLUJO DE CAJA LIBRE PROYECTADO — 5 AÑOS (COP) — TRIBUTOAPP S.A.S.</t>
  </si>
  <si>
    <t>PROYECCIÓN DEL FLUJO DE CAJA LIBRE OPERATIVO</t>
  </si>
  <si>
    <t>Rubro de Flujo de Caja (COP)</t>
  </si>
  <si>
    <t>Año 0 (Inversión)</t>
  </si>
  <si>
    <t>Utilidad Neta del Ejercicio</t>
  </si>
  <si>
    <t>—</t>
  </si>
  <si>
    <t>(+) Depreciación de Activos Fijos</t>
  </si>
  <si>
    <t>(-) Inversión Inicial Total</t>
  </si>
  <si>
    <t>(=) FLUJO NETO DE CAJA ANUAL</t>
  </si>
  <si>
    <t>Flujo de Caja Acumulado (Payback)</t>
  </si>
  <si>
    <t>PARÁMETROS PARA EVALUACIÓN FINANCIERA</t>
  </si>
  <si>
    <t>Tasa de Oportunidad Anual (TIO / WACC)</t>
  </si>
  <si>
    <t>Costo de oportunidad del capital en Colombia (18.5% E.A.)</t>
  </si>
  <si>
    <t>Inversión Inicial Total Año 0</t>
  </si>
  <si>
    <t>ANÁLISIS DE PUNTO DE EQUILIBRIO EN INGRESOS (5 AÑOS)</t>
  </si>
  <si>
    <t>Concepto de Equilibrio</t>
  </si>
  <si>
    <t>Costos Fijos Operativos (Costos + Gastos)</t>
  </si>
  <si>
    <t>% Margen de Contribución Promedio</t>
  </si>
  <si>
    <t>Punto de Equilibrio en Ingresos (COP)</t>
  </si>
  <si>
    <t>Ingresos Reales Proyectados (COP)</t>
  </si>
  <si>
    <t>¿Supera Punto de Equilibrio Operativo?</t>
  </si>
  <si>
    <t>10. EVALUACIÓN FINANCIERA — INDICADORES DE RENTABILIDAD</t>
  </si>
  <si>
    <t>10.1 INDICADORES FINANCIEROS Y CRITERIOS DE VIABILIDAD</t>
  </si>
  <si>
    <t>Indicador Financiero</t>
  </si>
  <si>
    <t>Resultado Calculado</t>
  </si>
  <si>
    <t>Criterio de Aceptación</t>
  </si>
  <si>
    <t>Interpretación y Diagnóstico</t>
  </si>
  <si>
    <t>Tasa de Oportunidad del Inversionista (TIO / WACC)</t>
  </si>
  <si>
    <t>Referencia de mercado</t>
  </si>
  <si>
    <t>Costo de oportunidad del capital en sector tecnológico en Colombia (18.5% E.A.)</t>
  </si>
  <si>
    <t>Valor Presente Neto (VPN / NPV)</t>
  </si>
  <si>
    <t>VPN &gt; $0 COP</t>
  </si>
  <si>
    <t>Tasa Interna de Retorno (TIR / IRR)</t>
  </si>
  <si>
    <t>TIR &gt; TIO (18.5%)</t>
  </si>
  <si>
    <t>Período de Recuperación de la Inversión (Payback)</t>
  </si>
  <si>
    <t>&lt; 5 Años</t>
  </si>
  <si>
    <t>Relación Beneficio / Costo (B/C)</t>
  </si>
  <si>
    <t>B/C &gt; 1.0</t>
  </si>
  <si>
    <t>FLUJOS DE CAJA NETOS UTILIZADOS POR LAS FUNCIONES NPV() E IRR()</t>
  </si>
  <si>
    <t>Flujo Neto de Caja (COP)</t>
  </si>
  <si>
    <t>Fórmula de Vinculación</t>
  </si>
  <si>
    <t>Observación</t>
  </si>
  <si>
    <t>Año 0 (Inversión Inicial)</t>
  </si>
  <si>
    <t>Flujo de salida inicial</t>
  </si>
  <si>
    <t>'Flujo de Caja'!C8</t>
  </si>
  <si>
    <t>Flujo operativo positivo</t>
  </si>
  <si>
    <t>'Flujo de Caja'!D8</t>
  </si>
  <si>
    <t>Crecimiento de suscriptores</t>
  </si>
  <si>
    <t>'Flujo de Caja'!E8</t>
  </si>
  <si>
    <t>Recuperación de inversión</t>
  </si>
  <si>
    <t>'Flujo de Caja'!F8</t>
  </si>
  <si>
    <t>Escalamiento comercial</t>
  </si>
  <si>
    <t>'Flujo de Caja'!G8</t>
  </si>
  <si>
    <t>Madurez del negocio SaaS</t>
  </si>
  <si>
    <t>10.2 CONCLUSIÓN Y RECOMENDACIÓN GERENCIAL</t>
  </si>
  <si>
    <t>1. Viabilidad Integral:</t>
  </si>
  <si>
    <t>2. Generación de Valor:</t>
  </si>
  <si>
    <t>3. Alta Rentabilidad:</t>
  </si>
  <si>
    <t>4. Recuperación Segura:</t>
  </si>
  <si>
    <t>5. Recomendación:</t>
  </si>
  <si>
    <t>El punto de equilibrio determina el volumen de ventas y usuarios necesarios para cubrir exactamente el 100% de los costos directos y gastos operativos, alcanzando una utilidad operativa de cero (EBITDA = $0). A partir de este umbral, cada nuevo suscriptor genera utilidad neta directa para la empresa.</t>
  </si>
  <si>
    <t>1. PARÁMETROS UNITARIOS Y MARGEN DE CONTRIBUCIÓN (AÑO 1)</t>
  </si>
  <si>
    <t>Parámetro Financiero</t>
  </si>
  <si>
    <t>Valor / Fórmula</t>
  </si>
  <si>
    <t>Fuente / Referencia</t>
  </si>
  <si>
    <t>Interpretación</t>
  </si>
  <si>
    <t>COP / usuario / mes</t>
  </si>
  <si>
    <t>Hoja Ingresos!D8</t>
  </si>
  <si>
    <t>Costo Variable Unitario Promedio (CVu)</t>
  </si>
  <si>
    <t>Margen de Contribución Unitario (MCU = P - CVu)</t>
  </si>
  <si>
    <t>= B8 / B6</t>
  </si>
  <si>
    <t>Aporte de cada suscriptor para cubrir los costos y gastos fijos de la empresa</t>
  </si>
  <si>
    <t>% Margen de Contribución (MCU / P)</t>
  </si>
  <si>
    <t>% Porcentaje</t>
  </si>
  <si>
    <t>Costos Fijos Operativos Anuales Año 1 (CFT)</t>
  </si>
  <si>
    <t>COP / año</t>
  </si>
  <si>
    <t>Costos!B8 + Gastos!B7</t>
  </si>
  <si>
    <t>Costos Fijos Operativos Mensuales Año 1</t>
  </si>
  <si>
    <t>= B10 / 12</t>
  </si>
  <si>
    <t>Gasto fijo promedio mensual que debe absorber la operación</t>
  </si>
  <si>
    <t>2. MATRIZ PROYECTADA DE PUNTO DE EQUILIBRIO A 5 AÑOS</t>
  </si>
  <si>
    <t>Concepto de Equilibrio Financiero</t>
  </si>
  <si>
    <t>Año 1 (Equilibrio)</t>
  </si>
  <si>
    <t>Criterio de Evaluación</t>
  </si>
  <si>
    <t>Costos y Gastos Fijos Operativos (COP/año)</t>
  </si>
  <si>
    <t>Costos!Total + Gastos!Total</t>
  </si>
  <si>
    <t>Punto de Equilibrio en Ingresos (COP/año) [= CFT / %MCU]</t>
  </si>
  <si>
    <t>Ventas mínimas requeridas</t>
  </si>
  <si>
    <t>Ingresos Reales Proyectados (COP/año)</t>
  </si>
  <si>
    <t>Ingresos de la hoja Ingresos</t>
  </si>
  <si>
    <t>Punto de Equilibrio en Usuarios (promedio/mes) [= CFT / (MCU × 12)]</t>
  </si>
  <si>
    <t>Suscriptores activos mínimos</t>
  </si>
  <si>
    <t>Usuarios Reales Proyectados (promedio/mes)</t>
  </si>
  <si>
    <t>Metas comerciales planificadas</t>
  </si>
  <si>
    <t>Margen de Seguridad Operativo [= (Ventas Reales - Punto Eq.) / Ventas Reales]</t>
  </si>
  <si>
    <t>Colchón de seguridad ante caídas</t>
  </si>
  <si>
    <t>¿Alcanza y Supera el Punto de Equilibrio?</t>
  </si>
  <si>
    <t>Evaluación de viabilidad</t>
  </si>
  <si>
    <t>3. CONCLUSIÓN Y RECOMENDACIÓN ESTRATÉGICA DEL PUNTO DE EQUILIBRIO</t>
  </si>
  <si>
    <t>1. Viabilidad en Año 1:</t>
  </si>
  <si>
    <t>2. Uso de Capacidad:</t>
  </si>
  <si>
    <t>3. Escalabilidad Años 2-5:</t>
  </si>
  <si>
    <t>RESUMEN DE FÓRMULAS DE GASTOS APLICADAS EN FILAS 5-6 (AÑOS 2-5)</t>
  </si>
  <si>
    <t>PARÁMETROS Y JUSTIFICACIÓN DEL INCREMENTO ANUAL DE COSTOS (AÑOS 2-5)</t>
  </si>
  <si>
    <t>RESUMEN DE FÓRMULAS DE COSTOS APLICADAS EN FILAS 5-7 (AÑOS 2-5)</t>
  </si>
  <si>
    <t>Deprecacion anual</t>
  </si>
  <si>
    <t>(=) Utilidad Operacional (EBITDA)</t>
  </si>
  <si>
    <t>Impuesto de Renta 2026</t>
  </si>
  <si>
    <t>ANÁLISIS INTEGRAL DE PUNTO DE EQUILIBRIO — TRIBUTOAPP S.A.S.</t>
  </si>
  <si>
    <t>PLANILLA PARA PAGO DE NOMINA MENSUAL</t>
  </si>
  <si>
    <t>DATOS BASICOS</t>
  </si>
  <si>
    <t>DEVENGADO</t>
  </si>
  <si>
    <t>DEDUCCIONES</t>
  </si>
  <si>
    <t>NETO PAGADO</t>
  </si>
  <si>
    <t>NOMBRE EMPLEADO</t>
  </si>
  <si>
    <t>CEDULA DE CIUDADANIA</t>
  </si>
  <si>
    <t>CARGO</t>
  </si>
  <si>
    <t>SUELDO BASICO</t>
  </si>
  <si>
    <t>DIAS TRABAJADOS</t>
  </si>
  <si>
    <t>SUELDO DEVENGADO</t>
  </si>
  <si>
    <t>HORAS EXTRAS</t>
  </si>
  <si>
    <t>COMISIONES</t>
  </si>
  <si>
    <t>INCAPACIDAD</t>
  </si>
  <si>
    <t xml:space="preserve">AUXILIO DE TRANSPORTE </t>
  </si>
  <si>
    <t>TOTAL DEVENGADO</t>
  </si>
  <si>
    <t>EPS</t>
  </si>
  <si>
    <t>AFP</t>
  </si>
  <si>
    <t>FSP</t>
  </si>
  <si>
    <t>RETENCION EN LA FUENTE</t>
  </si>
  <si>
    <t>TOTAL DEDUCCIONES</t>
  </si>
  <si>
    <t>NETO A PAGAR</t>
  </si>
  <si>
    <t>APROPIACIONES</t>
  </si>
  <si>
    <t>APORTE SEGURIDAD SOCIAL</t>
  </si>
  <si>
    <t>APORTES PARAFISCALES</t>
  </si>
  <si>
    <t>PRESTACIONES SOCIALES</t>
  </si>
  <si>
    <t>SALUD</t>
  </si>
  <si>
    <t>CCF</t>
  </si>
  <si>
    <t>CESANTIAS</t>
  </si>
  <si>
    <t>PENSION</t>
  </si>
  <si>
    <t>ICBF</t>
  </si>
  <si>
    <t>I. CESANTIAS</t>
  </si>
  <si>
    <t>ARL</t>
  </si>
  <si>
    <t>SENA</t>
  </si>
  <si>
    <t>PRIMAS</t>
  </si>
  <si>
    <t>VACACIONES</t>
  </si>
  <si>
    <t xml:space="preserve">ELABORADO POR: </t>
  </si>
  <si>
    <t xml:space="preserve">CONTABILIZADO POR: </t>
  </si>
  <si>
    <t>APROBADO POR:</t>
  </si>
  <si>
    <t>FECHA: 31 DE MAYO 2022</t>
  </si>
  <si>
    <t>PAGO A TRABAJADORES</t>
  </si>
  <si>
    <t>CODIGO</t>
  </si>
  <si>
    <t>CUENTA</t>
  </si>
  <si>
    <t>PARCIAL</t>
  </si>
  <si>
    <t>DEBE</t>
  </si>
  <si>
    <t>HABER</t>
  </si>
  <si>
    <t>GASTOS DE PERSONAL</t>
  </si>
  <si>
    <t>SALARIOS POR PAGAR</t>
  </si>
  <si>
    <t>SUELDOS</t>
  </si>
  <si>
    <t>SALARIO POR PAGAR (ADMON)</t>
  </si>
  <si>
    <t>AUXILIO DE TRANSPORTE</t>
  </si>
  <si>
    <t>SALARIOS POR PAGAR (VENTAS)</t>
  </si>
  <si>
    <t>BANCOS</t>
  </si>
  <si>
    <t>BANCOLOMBIA</t>
  </si>
  <si>
    <t>SUMAS IGUALES</t>
  </si>
  <si>
    <t>SALARIOS Y PAGOS LABORALES</t>
  </si>
  <si>
    <t>RETENCIONES Y APORTES DE NOMINA</t>
  </si>
  <si>
    <t>ACREEDORES VAIORS</t>
  </si>
  <si>
    <t>SALARIOS POR PAGAR (ADMON)</t>
  </si>
  <si>
    <t xml:space="preserve">SUMAS IGUALES </t>
  </si>
  <si>
    <t>PAGO A TERCEROS</t>
  </si>
  <si>
    <t>GASTOS DE PERSONAL (ADMON)</t>
  </si>
  <si>
    <t>RETENCIONES DE APORTES DE NOMINA</t>
  </si>
  <si>
    <t>INTERESES DE CESANTIAS</t>
  </si>
  <si>
    <t>PRIMAS DE SERVICIOS</t>
  </si>
  <si>
    <t>CAJA DE COMPENSACION</t>
  </si>
  <si>
    <t>ACREEDORES VARIOS</t>
  </si>
  <si>
    <t>COSTOS Y GASTOS POR PAGAR</t>
  </si>
  <si>
    <t>PILA</t>
  </si>
  <si>
    <t>GASTOS DE PERSONAL (VENTAS)</t>
  </si>
  <si>
    <t>TRIBUTOAPP S.A.S</t>
  </si>
  <si>
    <t xml:space="preserve">PERIODO: </t>
  </si>
  <si>
    <t>Líder de Tecnología</t>
  </si>
  <si>
    <t>NOMINA MENSUAL</t>
  </si>
  <si>
    <t>SEG SOCIAL</t>
  </si>
  <si>
    <t>TOTAL</t>
  </si>
  <si>
    <t>Costo Mensual Empresa (COP)</t>
  </si>
  <si>
    <t>TOTAL NOMINA BASICA MES ANO 1</t>
  </si>
  <si>
    <t>RESUMEN EJECUTIVO: COSTO TOTAL MENSUAL POR TRABAJADOR (EMPRESA)</t>
  </si>
  <si>
    <t>Cargo / Empleado</t>
  </si>
  <si>
    <t>Clasificacion Contable</t>
  </si>
  <si>
    <t>Total Devengado (COP)</t>
  </si>
  <si>
    <t>Seg. Social &amp; Parafiscales (COP)</t>
  </si>
  <si>
    <t>Prestaciones Sociales (COP)</t>
  </si>
  <si>
    <t>COSTO TOTAL MENSUAL (COP)</t>
  </si>
  <si>
    <t>COSTO TOTAL ANUAL (COP)</t>
  </si>
  <si>
    <t>Lider de Tecnologia / CTO</t>
  </si>
  <si>
    <t>Tecnico de Soporte TI (Desarrollador)</t>
  </si>
  <si>
    <t>Mano de Obra Directa (MOD - Costos)</t>
  </si>
  <si>
    <t>Gasto de Ventas y Mercadeo</t>
  </si>
  <si>
    <t>TOTAL COSTO EMPRESA MENSUAL</t>
  </si>
  <si>
    <t xml:space="preserve">9.3 PROYECCIÓN DEL CRÉDITO — TABLA DE AMORTIZACIÓN </t>
  </si>
  <si>
    <t>Capital de Trabajo (12 Meses de Operacion Inicial)</t>
  </si>
  <si>
    <t>1. Viabilidad Integral: El analisis financiero confirma la plena viabilidad tecnica, operativa y financiera de TributoApp S.A.S., alcanzando punto de equilibrio y utilidad neta positiva desde el Ano 1.</t>
  </si>
  <si>
    <t>5. Recomendacion: Se recomienda APROBAR Y EJECUTAR el plan de negocio con meta comercial de 850 suscriptores en el Ano 1.</t>
  </si>
  <si>
    <t>Cubre 12 meses de costos fijos y nomina completa (.57M/mes)</t>
  </si>
  <si>
    <t>Costo unitario variable por usuario en APIs IA y correos Resend. Calculado como =(D14+D15)*12/Usuarios y ajustado por inflacion legal (+6% anual).</t>
  </si>
  <si>
    <t>Hoja Costos!C25 / 12 meses</t>
  </si>
  <si>
    <t>Costo marginal mensual por usuario en tokens IA y correos calculados desde cotizaciones de proveedores</t>
  </si>
  <si>
    <t>Ano 1-5: 2 socios fundadores (Gerente + CTO) con ajuste anual IPC (+6%).</t>
  </si>
  <si>
    <t>METODOLOGIA DE ESCALAMIENTO: (1) El Tecnico de Soporte TI opera desde el Ano 1 y en el Ano 3 y 5 se incorporan desarrolladores adicionales. (2) Administracion (Gerente + CTO) se mantiene en 2 directivos con ajuste inflacionario legal (IPC +6%). (3) Ventas escala de 1 a 3 ejecutivos comerciales mas presupuesto de marketing digital para captar usuarios.</t>
  </si>
  <si>
    <t>Ano 1=1 Ejecutivo (.72M). Ano 2=1 Ejecutivo (.18M con pauta). Ano 3=2 Ejecutivos + pauta (.45M). Ano 4=2 Ejecutivos (.78M). Ano 5=3 Ejecutivos + pauta nacional (.81M).</t>
  </si>
  <si>
    <t>Desarrollo de Software y Soporte Tecnico TI (MOD)</t>
  </si>
  <si>
    <t>Ejecutivos Comerciales y Marketing Digital (Ventas)</t>
  </si>
  <si>
    <t>Gerencia General y Direccion TI (CEO + CTO - Admin)</t>
  </si>
  <si>
    <t>Personas Gerencia/Admin (ref. fila 13) -&gt; Fila 5</t>
  </si>
  <si>
    <t>Ejecutivos de Ventas (ref. fila 12) + Canal Digital</t>
  </si>
  <si>
    <t>Puestos de trabajo = Total personal (Gastos!Fila 14) x Tarifa mensual por puesto en coworking (Nomina!B23 = .120.000 para 4 puestos) indexada por inflacion legal (+6% anual).</t>
  </si>
  <si>
    <t>Ano 1: =Nomina!E30/12/B13 = .335.408/mes prom (.23M Gerente + .44M CTO / 2 directivos). Anos 2-5 crecen con ajuste anual por inflacion legal (IPC +6%).</t>
  </si>
  <si>
    <t>2. Generacion de Valor: El VPN positivo de +.103.509 COP demuestra que el proyecto crea riqueza neta para los socios por encima del costo de oportunidad del 18.5% anual (TIO).</t>
  </si>
  <si>
    <t>% Capacidad Maxima Instalada Utilizada para Equilibrio (sobre 5.000 users)</t>
  </si>
  <si>
    <t>Capacidad limite cloud = 5.000 usuarios</t>
  </si>
  <si>
    <t>Alta eficiencia SaaS: el 98.8% de cada peso ingresado contribuye a cubrir los costos y gastos fijos</t>
  </si>
  <si>
    <t>Total Costos (.632.814) + Gastos (.634.420) requeridos para operar el Ano 1</t>
  </si>
  <si>
    <t>1. Viabilidad en Ano 1: Con una meta de 850 usuarios activos promedio/mes en el Ano 1, TributoApp S.A.S. genera .090.000 COP en ingresos, superando el Punto de Equilibrio Operativo (799 usuarios / .983.883 COP). Esto cubre el 100% de los costos fijos y gastos de nomina completa (.267.234), generando un EBITDA positivo de +.822.766 COP desde el primer ano.</t>
  </si>
  <si>
    <t>2. Uso de Capacidad: El punto de equilibrio del Ano 1 requiere 799 usuarios/mes, lo que representa el 16.0% de la capacidad de infraestructura cloud (5.000 usuarios). Esto otorga un amplio margen de seguridad comercial del 6.0% en el Ano 1.</t>
  </si>
  <si>
    <t>3. Escalabilidad Anos 2-5: A partir del Ano 2, la empresa opera con margenes EBITDA superiores al 37%, generando flujos netos acumulados que recuperan la totalidad de la inversion inicial (.780.628 COP) en el transcurso del Ano 3 (Payback).</t>
  </si>
  <si>
    <t>Promedio Ponderado de Venta (P)</t>
  </si>
  <si>
    <t>Mix ponderado: 45% Básico ($14.9K) + 38% Pro ($24.9K) + 17% Empresarial ($39.9K) Valor promedio que paga un usuario</t>
  </si>
  <si>
    <t>Arriendo de espacio en coworking (4 puestos de trabajo privados)</t>
  </si>
  <si>
    <t>Estrategico</t>
  </si>
  <si>
    <t>1. Direccionamiento estrategico, representacion legal y toma de decisiones corporativas. 2. Validacion de la matriz contable y normativa tributaria (Estatuto Tributario y reformas). 3. Negociacion de alianzas con gremios contables, colegios profesionales y universidades. 4. Control presupuestal, supervision del flujo de caja y cumplimiento legal y fiscal.</t>
  </si>
  <si>
    <t>Contrato laboral a termino indefinido (Dedicacion estrategica)</t>
  </si>
  <si>
    <t>Tactico-Estrategico</t>
  </si>
  <si>
    <t>1. Direccion tecnica, arquitectura de software y gestion de infraestructura cloud. 2. Desarrollo e integracion de algoritmos de OCR con IA para lectura de facturas y certificados. 3. Garantizar disponibilidad 24/7 (SLA 99.9%), seguridad y proteccion de datos contables. 4. Liderar el roadmap de producto y despliegue de nuevas funcionalidades.</t>
  </si>
  <si>
    <t>Contrato laboral a termino indefinido (Tiempo completo)</t>
  </si>
  <si>
    <t>Tecnico de Soporte TI (MOD)</t>
  </si>
  <si>
    <t>1. Atencion y resolucion de incidencias tecnicas reportadas por los suscriptores. 2. Ejecucion de pruebas QA de calculo tributario previas a cada version en produccion. 3. Monitoreo constante del estado de servidores, APIs de IA y alertas del sistema. 4. Apoyo en mantenimiento de codigo, actualizacion de librerias y documentacion tecnica.</t>
  </si>
  <si>
    <t>Ejecutivo Comercial y Exito del Usuario</t>
  </si>
  <si>
    <t>1. Prospeccion activa y cierre de ventas de planes Pro y Empresarial. 2. Onboarding guiado y acompanamiento a usuarios en periodo de prueba para lograr la conversion. 3. Atencion del canal de WhatsApp Business y soporte comercial de facturacion y planes. 4. Campanas de retencion, seguimiento a renovaciones y recopilacion de satisfaccion del cliente.</t>
  </si>
  <si>
    <t>Oficina compartida en Barranquilla con puestos ergonomicos, internet de alta velocidad y salas de juntas</t>
  </si>
  <si>
    <t>Servicios publicos y conectividad backup (Plan celular corporativo + internet respaldo)</t>
  </si>
  <si>
    <t>Linea movil corporativa para atencion comercial por WhatsApp y plan de datos de contingencia</t>
  </si>
  <si>
    <t>Profesional en Contaduria Publica con especializacion en Derecho Tributario, Gestion Tributaria o Finanzas Corporativas. Tarjeta Profesional vigente. Minimo 5 años de experiencia en asesoria tributaria, formulacion de proyectos, gestion empresarial y relacionamiento institucional ante la DIAN.</t>
  </si>
  <si>
    <t>Profesional en Ingenieria de Sistemas, Software o Computacion. Minimo 3 años de experiencia en desarrollo web full-stack, arquitectura en la nube con Next.js (TypeScript), Node.js, bases de datos PostgreSQL en Supabase, seguridad informatica y consumo de APIs de IA (Claude, OpenAI, Gemini).</t>
  </si>
  <si>
    <t>Tecnologo o Profesional en Sistemas, Informatica o Desarrollo de Software. Minimo 1 año de experiencia en soporte a plataformas web, pruebas de aseguramiento de calidad (QA Testing), atencion de incidencias nivel 1 y 2, y manejo basico de Git, JavaScript y SQL.</t>
  </si>
  <si>
    <t>Tecnico, Tecnologo o Profesional en Mercadeo, Publicidad, Administracion o areas comerciales. Minimo 1 a 2 años de experiencia en ventas B2B/B2C de software (SaaS), prospeccion digital, manejo de CRM y servicio al cliente multicanal (WhatsApp y correo).</t>
  </si>
  <si>
    <t>Contrato laboral a termino fijo a 1 año renovable (Tiempo completo)</t>
  </si>
  <si>
    <t>Descripcion del Rol, Perfil y Funciones MOD</t>
  </si>
  <si>
    <t>PERFIL Y REQUISITOS: Tecnologo o Profesional en Sistemas con min. 1 ano de experiencia en soporte web, pruebas QA, Git y SQL.
FUNCIONES PRINCIPALES: 1. Resolucion de incidencias tecnicas. 2. Pruebas QA de calculo tributario. 3. Monitoreo de servidores y APIs IA. 4. Mantenimiento de codigo y soporte.</t>
  </si>
  <si>
    <t>Perfil, Vinculacion y Funciones Principales</t>
  </si>
  <si>
    <t>PERFIL: Contador Publico especialista tributario (&gt;5 anos exp.). VINCULACION: Termino indefinido.
FUNCIONES: Direccion estrategica, representacion legal, validacion tributaria y control financiero.</t>
  </si>
  <si>
    <t>PERFIL: Ingeniero de Sistemas full-stack (&gt;3 anos exp. Next.js, Supabase, IA). VINCULACION: Termino indefinido.
FUNCIONES: Arquitectura cloud, algoritmos OCR/IA, disponibilidad 24/7 y seguridad de datos.</t>
  </si>
  <si>
    <t>PERFIL: Profesional/Tecnologo en Mercadeo o Administracion (1-2 anos exp. SaaS). VINCULACION: Termino fijo 1 ano renovable.
FUNCIONES: Cierre de ventas, onboarding a usuarios, soporte WhatsApp y retencion.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</si>
</sst>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_-;\-* #,##0.0_-;_-* &quot;-&quot;??_-;_-@_-"/>
    <numFmt numFmtId="165" formatCode="&quot;$&quot;#,##0"/>
    <numFmt numFmtId="166" formatCode="0.0%"/>
    <numFmt numFmtId="167" formatCode="&quot;$&quot;#,##0.00"/>
    <numFmt numFmtId="168" formatCode="&quot;$&quot;\ #,##0"/>
  </numFmts>
  <fonts count="28" x14ac:knownFonts="1">
    <font>
      <sz val="11"/>
      <color theme="1"/>
      <name val="Calibri"/>
      <family val="2"/>
      <scheme val="minor"/>
    </font>
    <font>
      <b/>
      <sz val="16"/>
      <color rgb="FF1B365D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0"/>
      <name val="Calibri"/>
    </font>
    <font>
      <sz val="10"/>
      <name val="Calibri"/>
    </font>
    <font>
      <b/>
      <sz val="10"/>
      <color rgb="FFFFFFFF"/>
      <name val="Calibri"/>
    </font>
    <font>
      <b/>
      <i/>
      <sz val="10"/>
      <color rgb="FF1B365D"/>
      <name val="Calibri"/>
    </font>
    <font>
      <b/>
      <sz val="14"/>
      <color rgb="FF1B365D"/>
      <name val="Calibri"/>
    </font>
    <font>
      <b/>
      <sz val="10"/>
      <color rgb="FF000000"/>
      <name val="Calibri"/>
    </font>
    <font>
      <b/>
      <sz val="13"/>
      <color rgb="FF1B365D"/>
      <name val="Calibri"/>
    </font>
    <font>
      <i/>
      <sz val="9"/>
      <color rgb="FF595959"/>
      <name val="Calibri"/>
    </font>
    <font>
      <b/>
      <sz val="10"/>
      <color rgb="FF1B365D"/>
      <name val="Calibri"/>
    </font>
    <font>
      <i/>
      <sz val="10"/>
      <color rgb="FFFFFFFF"/>
      <name val="Calibri"/>
    </font>
    <font>
      <b/>
      <sz val="9"/>
      <color rgb="FF1E2A5A"/>
      <name val="Calibri"/>
    </font>
    <font>
      <sz val="9"/>
      <name val="Calibri"/>
    </font>
    <font>
      <b/>
      <sz val="9.5"/>
      <color rgb="FF1E2A5A"/>
      <name val="Calibri"/>
    </font>
    <font>
      <b/>
      <sz val="10"/>
      <color rgb="FF1E7E34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1"/>
      <color rgb="FF000000"/>
      <name val="Arial"/>
    </font>
    <font>
      <sz val="11"/>
      <name val="Calibri"/>
    </font>
    <font>
      <sz val="11"/>
      <color rgb="FF000000"/>
      <name val="Calibri"/>
    </font>
    <font>
      <b/>
      <sz val="11"/>
      <color rgb="FF000000"/>
      <name val="Arial"/>
      <family val="2"/>
    </font>
    <font>
      <b/>
      <sz val="12"/>
      <color rgb="FFFFFFFF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2E75B6"/>
      </patternFill>
    </fill>
    <fill>
      <patternFill patternType="solid">
        <fgColor rgb="FF1B365D"/>
      </patternFill>
    </fill>
    <fill>
      <patternFill patternType="solid">
        <fgColor rgb="FFD9E1F2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E2A5A"/>
      </patternFill>
    </fill>
    <fill>
      <patternFill patternType="solid">
        <fgColor rgb="FF0284C7"/>
      </patternFill>
    </fill>
    <fill>
      <patternFill patternType="solid">
        <fgColor rgb="FFD4E4F7"/>
      </patternFill>
    </fill>
    <fill>
      <patternFill patternType="solid">
        <fgColor rgb="FFE8F4FD"/>
      </patternFill>
    </fill>
    <fill>
      <patternFill patternType="solid">
        <fgColor rgb="FFF8FAFE"/>
      </patternFill>
    </fill>
    <fill>
      <patternFill patternType="solid">
        <fgColor rgb="FFFFFFFF"/>
      </patternFill>
    </fill>
    <fill>
      <patternFill patternType="solid">
        <fgColor rgb="FFE8F8E8"/>
      </patternFill>
    </fill>
    <fill>
      <patternFill patternType="solid">
        <fgColor rgb="FFFFF3CD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03080"/>
        <bgColor indexed="64"/>
      </patternFill>
    </fill>
    <fill>
      <patternFill patternType="solid">
        <fgColor rgb="FFF2E1D9"/>
        <bgColor indexed="64"/>
      </patternFill>
    </fill>
    <fill>
      <patternFill patternType="solid">
        <fgColor rgb="FFF2F2F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  <border>
      <left/>
      <right/>
      <top style="medium">
        <color rgb="FF1B365D"/>
      </top>
      <bottom style="double">
        <color rgb="FF1B365D"/>
      </bottom>
      <diagonal/>
    </border>
    <border>
      <left style="medium">
        <color rgb="FF1E2A5A"/>
      </left>
      <right style="medium">
        <color rgb="FF1E2A5A"/>
      </right>
      <top style="medium">
        <color rgb="FF1E2A5A"/>
      </top>
      <bottom style="medium">
        <color rgb="FF1E2A5A"/>
      </bottom>
      <diagonal/>
    </border>
    <border>
      <left/>
      <right/>
      <top style="medium">
        <color rgb="FF1E2A5A"/>
      </top>
      <bottom style="medium">
        <color rgb="FF1E2A5A"/>
      </bottom>
      <diagonal/>
    </border>
    <border>
      <left/>
      <right style="medium">
        <color rgb="FF1E2A5A"/>
      </right>
      <top style="medium">
        <color rgb="FF1E2A5A"/>
      </top>
      <bottom style="medium">
        <color rgb="FF1E2A5A"/>
      </bottom>
      <diagonal/>
    </border>
    <border>
      <left/>
      <right/>
      <top style="medium">
        <color rgb="FF1E2A5A"/>
      </top>
      <bottom style="thin">
        <color rgb="FFB0C4DE"/>
      </bottom>
      <diagonal/>
    </border>
    <border>
      <left/>
      <right style="thin">
        <color rgb="FFB0C4DE"/>
      </right>
      <top style="medium">
        <color rgb="FF1E2A5A"/>
      </top>
      <bottom style="thin">
        <color rgb="FFB0C4DE"/>
      </bottom>
      <diagonal/>
    </border>
    <border>
      <left/>
      <right/>
      <top style="thin">
        <color rgb="FFB0C4DE"/>
      </top>
      <bottom style="thin">
        <color rgb="FFB0C4DE"/>
      </bottom>
      <diagonal/>
    </border>
    <border>
      <left/>
      <right style="thin">
        <color rgb="FFB0C4DE"/>
      </right>
      <top style="thin">
        <color rgb="FFB0C4DE"/>
      </top>
      <bottom style="thin">
        <color rgb="FFB0C4DE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5">
    <xf numFmtId="0" fontId="0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right" vertical="center" wrapText="1"/>
    </xf>
    <xf numFmtId="0" fontId="8" fillId="0" borderId="0" xfId="0" applyFont="1"/>
    <xf numFmtId="165" fontId="0" fillId="0" borderId="0" xfId="0" applyNumberFormat="1"/>
    <xf numFmtId="166" fontId="0" fillId="0" borderId="0" xfId="0" applyNumberFormat="1"/>
    <xf numFmtId="0" fontId="9" fillId="4" borderId="1" xfId="0" applyFont="1" applyFill="1" applyBorder="1"/>
    <xf numFmtId="165" fontId="9" fillId="4" borderId="1" xfId="0" applyNumberFormat="1" applyFont="1" applyFill="1" applyBorder="1"/>
    <xf numFmtId="166" fontId="9" fillId="4" borderId="1" xfId="0" applyNumberFormat="1" applyFont="1" applyFill="1" applyBorder="1"/>
    <xf numFmtId="3" fontId="0" fillId="0" borderId="2" xfId="0" applyNumberFormat="1" applyBorder="1"/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165" fontId="5" fillId="5" borderId="3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165" fontId="5" fillId="6" borderId="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/>
    <xf numFmtId="165" fontId="4" fillId="4" borderId="4" xfId="0" applyNumberFormat="1" applyFont="1" applyFill="1" applyBorder="1"/>
    <xf numFmtId="165" fontId="12" fillId="5" borderId="0" xfId="0" applyNumberFormat="1" applyFont="1" applyFill="1"/>
    <xf numFmtId="165" fontId="12" fillId="6" borderId="0" xfId="0" applyNumberFormat="1" applyFont="1" applyFill="1"/>
    <xf numFmtId="0" fontId="5" fillId="7" borderId="3" xfId="0" applyFont="1" applyFill="1" applyBorder="1" applyAlignment="1">
      <alignment horizontal="left" vertical="center" wrapText="1"/>
    </xf>
    <xf numFmtId="165" fontId="5" fillId="7" borderId="3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vertical="center" wrapText="1"/>
    </xf>
    <xf numFmtId="0" fontId="0" fillId="12" borderId="2" xfId="0" applyFill="1" applyBorder="1" applyAlignment="1">
      <alignment vertical="center" wrapText="1"/>
    </xf>
    <xf numFmtId="3" fontId="0" fillId="13" borderId="2" xfId="0" applyNumberFormat="1" applyFill="1" applyBorder="1" applyAlignment="1">
      <alignment horizontal="center" vertical="center" wrapText="1"/>
    </xf>
    <xf numFmtId="165" fontId="0" fillId="13" borderId="2" xfId="0" applyNumberFormat="1" applyFill="1" applyBorder="1" applyAlignment="1">
      <alignment horizontal="right" vertical="center" wrapText="1"/>
    </xf>
    <xf numFmtId="0" fontId="4" fillId="10" borderId="2" xfId="0" applyFont="1" applyFill="1" applyBorder="1" applyAlignment="1">
      <alignment vertical="center" wrapText="1"/>
    </xf>
    <xf numFmtId="0" fontId="0" fillId="10" borderId="2" xfId="0" applyFill="1" applyBorder="1" applyAlignment="1">
      <alignment vertical="center" wrapText="1"/>
    </xf>
    <xf numFmtId="165" fontId="4" fillId="10" borderId="2" xfId="0" applyNumberFormat="1" applyFont="1" applyFill="1" applyBorder="1" applyAlignment="1">
      <alignment horizontal="right" vertical="center" wrapText="1"/>
    </xf>
    <xf numFmtId="0" fontId="4" fillId="12" borderId="2" xfId="0" applyFont="1" applyFill="1" applyBorder="1" applyAlignment="1">
      <alignment vertical="center" wrapText="1"/>
    </xf>
    <xf numFmtId="0" fontId="4" fillId="14" borderId="2" xfId="0" applyFont="1" applyFill="1" applyBorder="1" applyAlignment="1">
      <alignment vertical="center" wrapText="1"/>
    </xf>
    <xf numFmtId="167" fontId="0" fillId="0" borderId="0" xfId="0" applyNumberFormat="1"/>
    <xf numFmtId="0" fontId="0" fillId="13" borderId="2" xfId="0" applyFill="1" applyBorder="1" applyAlignment="1">
      <alignment horizontal="center" vertical="center" wrapText="1"/>
    </xf>
    <xf numFmtId="10" fontId="0" fillId="0" borderId="0" xfId="0" applyNumberFormat="1"/>
    <xf numFmtId="165" fontId="4" fillId="5" borderId="0" xfId="0" applyNumberFormat="1" applyFont="1" applyFill="1"/>
    <xf numFmtId="165" fontId="4" fillId="0" borderId="0" xfId="0" applyNumberFormat="1" applyFont="1"/>
    <xf numFmtId="166" fontId="4" fillId="0" borderId="0" xfId="0" applyNumberFormat="1" applyFont="1"/>
    <xf numFmtId="166" fontId="4" fillId="5" borderId="0" xfId="0" applyNumberFormat="1" applyFont="1" applyFill="1"/>
    <xf numFmtId="2" fontId="4" fillId="0" borderId="0" xfId="0" applyNumberFormat="1" applyFont="1"/>
    <xf numFmtId="0" fontId="16" fillId="10" borderId="2" xfId="0" applyFont="1" applyFill="1" applyBorder="1" applyAlignment="1">
      <alignment horizontal="center" vertical="center" wrapText="1"/>
    </xf>
    <xf numFmtId="0" fontId="4" fillId="11" borderId="2" xfId="0" applyFont="1" applyFill="1" applyBorder="1"/>
    <xf numFmtId="0" fontId="0" fillId="12" borderId="2" xfId="0" applyFill="1" applyBorder="1"/>
    <xf numFmtId="0" fontId="4" fillId="10" borderId="2" xfId="0" applyFont="1" applyFill="1" applyBorder="1"/>
    <xf numFmtId="0" fontId="0" fillId="10" borderId="2" xfId="0" applyFill="1" applyBorder="1" applyAlignment="1">
      <alignment horizontal="center" vertical="center" wrapText="1"/>
    </xf>
    <xf numFmtId="0" fontId="0" fillId="10" borderId="2" xfId="0" applyFill="1" applyBorder="1"/>
    <xf numFmtId="166" fontId="0" fillId="13" borderId="2" xfId="0" applyNumberFormat="1" applyFill="1" applyBorder="1" applyAlignment="1">
      <alignment horizontal="right" vertical="center" wrapText="1"/>
    </xf>
    <xf numFmtId="165" fontId="4" fillId="13" borderId="2" xfId="0" applyNumberFormat="1" applyFont="1" applyFill="1" applyBorder="1" applyAlignment="1">
      <alignment horizontal="right" vertical="center" wrapText="1"/>
    </xf>
    <xf numFmtId="3" fontId="4" fillId="10" borderId="2" xfId="0" applyNumberFormat="1" applyFont="1" applyFill="1" applyBorder="1" applyAlignment="1">
      <alignment horizontal="center" vertical="center" wrapText="1"/>
    </xf>
    <xf numFmtId="3" fontId="4" fillId="13" borderId="2" xfId="0" applyNumberFormat="1" applyFont="1" applyFill="1" applyBorder="1" applyAlignment="1">
      <alignment horizontal="center" vertical="center" wrapText="1"/>
    </xf>
    <xf numFmtId="166" fontId="0" fillId="13" borderId="2" xfId="0" applyNumberFormat="1" applyFill="1" applyBorder="1" applyAlignment="1">
      <alignment horizontal="center" vertical="center" wrapText="1"/>
    </xf>
    <xf numFmtId="166" fontId="17" fillId="14" borderId="2" xfId="0" applyNumberFormat="1" applyFont="1" applyFill="1" applyBorder="1" applyAlignment="1">
      <alignment horizontal="center" vertical="center" wrapText="1"/>
    </xf>
    <xf numFmtId="0" fontId="0" fillId="14" borderId="2" xfId="0" applyFill="1" applyBorder="1"/>
    <xf numFmtId="0" fontId="17" fillId="14" borderId="2" xfId="0" applyFont="1" applyFill="1" applyBorder="1" applyAlignment="1">
      <alignment horizontal="center" vertical="center" wrapText="1"/>
    </xf>
    <xf numFmtId="43" fontId="0" fillId="0" borderId="0" xfId="1" applyFont="1"/>
    <xf numFmtId="43" fontId="0" fillId="0" borderId="0" xfId="0" applyNumberFormat="1"/>
    <xf numFmtId="0" fontId="0" fillId="16" borderId="0" xfId="0" applyFill="1"/>
    <xf numFmtId="165" fontId="4" fillId="16" borderId="0" xfId="0" applyNumberFormat="1" applyFont="1" applyFill="1"/>
    <xf numFmtId="165" fontId="0" fillId="16" borderId="0" xfId="0" applyNumberFormat="1" applyFill="1"/>
    <xf numFmtId="10" fontId="4" fillId="0" borderId="0" xfId="0" applyNumberFormat="1" applyFont="1"/>
    <xf numFmtId="166" fontId="19" fillId="0" borderId="0" xfId="0" applyNumberFormat="1" applyFont="1"/>
    <xf numFmtId="0" fontId="22" fillId="0" borderId="0" xfId="3" applyFont="1"/>
    <xf numFmtId="0" fontId="21" fillId="0" borderId="0" xfId="3" applyAlignment="1">
      <alignment vertical="center"/>
    </xf>
    <xf numFmtId="0" fontId="22" fillId="0" borderId="16" xfId="3" applyFont="1" applyBorder="1"/>
    <xf numFmtId="168" fontId="22" fillId="0" borderId="0" xfId="3" applyNumberFormat="1" applyFont="1"/>
    <xf numFmtId="0" fontId="25" fillId="0" borderId="0" xfId="3" applyFont="1"/>
    <xf numFmtId="168" fontId="25" fillId="0" borderId="0" xfId="3" applyNumberFormat="1" applyFont="1"/>
    <xf numFmtId="43" fontId="22" fillId="0" borderId="0" xfId="1" applyFont="1"/>
    <xf numFmtId="43" fontId="26" fillId="20" borderId="0" xfId="1" applyFont="1" applyFill="1" applyAlignment="1">
      <alignment horizontal="center"/>
    </xf>
    <xf numFmtId="168" fontId="22" fillId="0" borderId="0" xfId="4" applyNumberFormat="1" applyFont="1"/>
    <xf numFmtId="168" fontId="26" fillId="21" borderId="0" xfId="1" applyNumberFormat="1" applyFont="1" applyFill="1"/>
    <xf numFmtId="43" fontId="0" fillId="13" borderId="2" xfId="1" applyFont="1" applyFill="1" applyBorder="1" applyAlignment="1">
      <alignment horizontal="right" vertical="center" wrapText="1"/>
    </xf>
    <xf numFmtId="43" fontId="4" fillId="10" borderId="2" xfId="1" applyFont="1" applyFill="1" applyBorder="1" applyAlignment="1">
      <alignment horizontal="right" vertical="center" wrapText="1"/>
    </xf>
    <xf numFmtId="43" fontId="0" fillId="13" borderId="2" xfId="1" applyFont="1" applyFill="1" applyBorder="1" applyAlignment="1">
      <alignment horizontal="center" vertical="center" wrapText="1"/>
    </xf>
    <xf numFmtId="0" fontId="19" fillId="20" borderId="0" xfId="0" applyFont="1" applyFill="1"/>
    <xf numFmtId="3" fontId="19" fillId="20" borderId="2" xfId="0" applyNumberFormat="1" applyFont="1" applyFill="1" applyBorder="1"/>
    <xf numFmtId="0" fontId="3" fillId="2" borderId="3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1" fillId="6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7" fillId="0" borderId="0" xfId="0" applyFont="1"/>
    <xf numFmtId="0" fontId="15" fillId="10" borderId="2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vertical="center" wrapText="1"/>
    </xf>
    <xf numFmtId="0" fontId="15" fillId="12" borderId="2" xfId="0" applyFont="1" applyFill="1" applyBorder="1" applyAlignment="1">
      <alignment vertical="center" wrapText="1"/>
    </xf>
    <xf numFmtId="0" fontId="5" fillId="12" borderId="10" xfId="0" applyFont="1" applyFill="1" applyBorder="1" applyAlignment="1">
      <alignment vertical="center" wrapText="1"/>
    </xf>
    <xf numFmtId="0" fontId="5" fillId="12" borderId="11" xfId="0" applyFont="1" applyFill="1" applyBorder="1" applyAlignment="1">
      <alignment vertical="center" wrapText="1"/>
    </xf>
    <xf numFmtId="0" fontId="15" fillId="14" borderId="2" xfId="0" applyFont="1" applyFill="1" applyBorder="1" applyAlignment="1">
      <alignment vertical="center" wrapText="1"/>
    </xf>
    <xf numFmtId="0" fontId="5" fillId="15" borderId="10" xfId="0" applyFont="1" applyFill="1" applyBorder="1" applyAlignment="1">
      <alignment vertical="center" wrapText="1"/>
    </xf>
    <xf numFmtId="0" fontId="5" fillId="15" borderId="11" xfId="0" applyFont="1" applyFill="1" applyBorder="1" applyAlignment="1">
      <alignment vertical="center" wrapText="1"/>
    </xf>
    <xf numFmtId="0" fontId="3" fillId="8" borderId="5" xfId="0" applyFont="1" applyFill="1" applyBorder="1" applyAlignment="1">
      <alignment horizontal="left" vertical="center" indent="1"/>
    </xf>
    <xf numFmtId="0" fontId="3" fillId="8" borderId="6" xfId="0" applyFont="1" applyFill="1" applyBorder="1" applyAlignment="1">
      <alignment horizontal="left" vertical="center" indent="1"/>
    </xf>
    <xf numFmtId="0" fontId="3" fillId="8" borderId="7" xfId="0" applyFont="1" applyFill="1" applyBorder="1" applyAlignment="1">
      <alignment horizontal="left" vertical="center" indent="1"/>
    </xf>
    <xf numFmtId="0" fontId="13" fillId="9" borderId="2" xfId="0" applyFont="1" applyFill="1" applyBorder="1" applyAlignment="1">
      <alignment horizontal="left" vertical="center" wrapText="1" indent="1"/>
    </xf>
    <xf numFmtId="0" fontId="13" fillId="9" borderId="8" xfId="0" applyFont="1" applyFill="1" applyBorder="1" applyAlignment="1">
      <alignment horizontal="left" vertical="center" wrapText="1" indent="1"/>
    </xf>
    <xf numFmtId="0" fontId="13" fillId="9" borderId="9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wrapText="1"/>
    </xf>
    <xf numFmtId="0" fontId="0" fillId="12" borderId="2" xfId="0" applyFill="1" applyBorder="1" applyAlignment="1">
      <alignment wrapText="1"/>
    </xf>
    <xf numFmtId="0" fontId="20" fillId="8" borderId="5" xfId="0" applyFont="1" applyFill="1" applyBorder="1" applyAlignment="1">
      <alignment horizontal="left" vertical="center" indent="1"/>
    </xf>
    <xf numFmtId="0" fontId="23" fillId="0" borderId="12" xfId="3" applyFont="1" applyBorder="1" applyAlignment="1">
      <alignment horizontal="center"/>
    </xf>
    <xf numFmtId="0" fontId="24" fillId="0" borderId="13" xfId="3" applyFont="1" applyBorder="1" applyAlignment="1">
      <alignment vertical="center"/>
    </xf>
    <xf numFmtId="0" fontId="24" fillId="0" borderId="14" xfId="3" applyFont="1" applyBorder="1" applyAlignment="1">
      <alignment vertical="center"/>
    </xf>
    <xf numFmtId="0" fontId="23" fillId="0" borderId="15" xfId="3" applyFont="1" applyBorder="1" applyAlignment="1">
      <alignment horizontal="center"/>
    </xf>
    <xf numFmtId="0" fontId="24" fillId="0" borderId="0" xfId="3" applyFont="1" applyAlignment="1">
      <alignment vertical="center"/>
    </xf>
    <xf numFmtId="0" fontId="24" fillId="0" borderId="16" xfId="3" applyFont="1" applyBorder="1" applyAlignment="1">
      <alignment vertical="center"/>
    </xf>
    <xf numFmtId="0" fontId="23" fillId="0" borderId="17" xfId="3" applyFont="1" applyBorder="1" applyAlignment="1">
      <alignment horizontal="center"/>
    </xf>
    <xf numFmtId="0" fontId="24" fillId="0" borderId="18" xfId="3" applyFont="1" applyBorder="1" applyAlignment="1">
      <alignment vertical="center"/>
    </xf>
    <xf numFmtId="0" fontId="24" fillId="0" borderId="19" xfId="3" applyFont="1" applyBorder="1" applyAlignment="1">
      <alignment vertical="center"/>
    </xf>
    <xf numFmtId="0" fontId="23" fillId="0" borderId="12" xfId="3" applyFont="1" applyBorder="1" applyAlignment="1">
      <alignment horizontal="center" vertical="center"/>
    </xf>
    <xf numFmtId="0" fontId="24" fillId="0" borderId="17" xfId="3" applyFont="1" applyBorder="1" applyAlignment="1">
      <alignment vertical="center"/>
    </xf>
    <xf numFmtId="0" fontId="23" fillId="0" borderId="13" xfId="3" applyFont="1" applyBorder="1" applyAlignment="1">
      <alignment horizontal="center" vertical="center"/>
    </xf>
    <xf numFmtId="0" fontId="23" fillId="0" borderId="27" xfId="3" applyFont="1" applyBorder="1" applyAlignment="1">
      <alignment horizontal="center"/>
    </xf>
    <xf numFmtId="0" fontId="24" fillId="0" borderId="21" xfId="3" applyFont="1" applyBorder="1" applyAlignment="1">
      <alignment vertical="center"/>
    </xf>
    <xf numFmtId="0" fontId="23" fillId="0" borderId="24" xfId="3" applyFont="1" applyBorder="1" applyAlignment="1">
      <alignment horizontal="center"/>
    </xf>
    <xf numFmtId="0" fontId="24" fillId="0" borderId="23" xfId="3" applyFont="1" applyBorder="1" applyAlignment="1">
      <alignment vertical="center"/>
    </xf>
    <xf numFmtId="0" fontId="24" fillId="0" borderId="25" xfId="3" applyFont="1" applyBorder="1" applyAlignment="1">
      <alignment vertical="center"/>
    </xf>
    <xf numFmtId="0" fontId="23" fillId="0" borderId="22" xfId="3" applyFont="1" applyBorder="1" applyAlignment="1">
      <alignment horizontal="center"/>
    </xf>
    <xf numFmtId="0" fontId="23" fillId="0" borderId="26" xfId="3" applyFont="1" applyBorder="1" applyAlignment="1">
      <alignment horizontal="center"/>
    </xf>
    <xf numFmtId="0" fontId="22" fillId="0" borderId="0" xfId="3" applyFont="1" applyAlignment="1">
      <alignment horizontal="center"/>
    </xf>
    <xf numFmtId="0" fontId="24" fillId="0" borderId="28" xfId="3" applyFont="1" applyBorder="1" applyAlignment="1">
      <alignment vertical="center"/>
    </xf>
    <xf numFmtId="0" fontId="22" fillId="0" borderId="22" xfId="3" applyFont="1" applyBorder="1" applyAlignment="1">
      <alignment horizontal="center"/>
    </xf>
    <xf numFmtId="0" fontId="22" fillId="0" borderId="29" xfId="3" applyFont="1" applyBorder="1" applyAlignment="1">
      <alignment horizontal="center"/>
    </xf>
    <xf numFmtId="0" fontId="24" fillId="0" borderId="30" xfId="3" applyFont="1" applyBorder="1" applyAlignment="1">
      <alignment vertical="center"/>
    </xf>
    <xf numFmtId="168" fontId="22" fillId="0" borderId="29" xfId="3" applyNumberFormat="1" applyFont="1" applyBorder="1" applyAlignment="1">
      <alignment horizontal="center"/>
    </xf>
    <xf numFmtId="0" fontId="24" fillId="0" borderId="31" xfId="3" applyFont="1" applyBorder="1" applyAlignment="1">
      <alignment vertical="center"/>
    </xf>
    <xf numFmtId="0" fontId="23" fillId="0" borderId="20" xfId="3" applyFont="1" applyBorder="1" applyAlignment="1">
      <alignment horizontal="center"/>
    </xf>
    <xf numFmtId="168" fontId="22" fillId="0" borderId="32" xfId="3" applyNumberFormat="1" applyFont="1" applyBorder="1" applyAlignment="1">
      <alignment horizontal="center"/>
    </xf>
    <xf numFmtId="168" fontId="22" fillId="0" borderId="33" xfId="3" applyNumberFormat="1" applyFont="1" applyBorder="1" applyAlignment="1">
      <alignment horizontal="center"/>
    </xf>
    <xf numFmtId="0" fontId="24" fillId="0" borderId="34" xfId="3" applyFont="1" applyBorder="1" applyAlignment="1">
      <alignment vertical="center"/>
    </xf>
    <xf numFmtId="168" fontId="22" fillId="0" borderId="35" xfId="3" applyNumberFormat="1" applyFont="1" applyBorder="1" applyAlignment="1">
      <alignment horizontal="center"/>
    </xf>
    <xf numFmtId="0" fontId="23" fillId="0" borderId="29" xfId="3" applyFont="1" applyBorder="1" applyAlignment="1">
      <alignment horizontal="center"/>
    </xf>
    <xf numFmtId="0" fontId="22" fillId="17" borderId="29" xfId="3" applyFont="1" applyFill="1" applyBorder="1" applyAlignment="1">
      <alignment horizontal="center"/>
    </xf>
    <xf numFmtId="0" fontId="24" fillId="17" borderId="30" xfId="3" applyFont="1" applyFill="1" applyBorder="1" applyAlignment="1">
      <alignment vertical="center"/>
    </xf>
    <xf numFmtId="0" fontId="24" fillId="0" borderId="35" xfId="3" applyFont="1" applyBorder="1" applyAlignment="1">
      <alignment vertical="center"/>
    </xf>
    <xf numFmtId="0" fontId="22" fillId="0" borderId="35" xfId="3" applyFont="1" applyBorder="1" applyAlignment="1">
      <alignment horizontal="center"/>
    </xf>
    <xf numFmtId="0" fontId="22" fillId="18" borderId="29" xfId="3" applyFont="1" applyFill="1" applyBorder="1" applyAlignment="1">
      <alignment horizontal="center"/>
    </xf>
    <xf numFmtId="0" fontId="24" fillId="18" borderId="30" xfId="3" applyFont="1" applyFill="1" applyBorder="1" applyAlignment="1">
      <alignment vertical="center"/>
    </xf>
    <xf numFmtId="0" fontId="22" fillId="0" borderId="36" xfId="3" applyFont="1" applyBorder="1" applyAlignment="1">
      <alignment horizontal="center"/>
    </xf>
    <xf numFmtId="0" fontId="24" fillId="0" borderId="37" xfId="3" applyFont="1" applyBorder="1" applyAlignment="1">
      <alignment vertical="center"/>
    </xf>
    <xf numFmtId="0" fontId="22" fillId="0" borderId="38" xfId="3" applyFont="1" applyBorder="1" applyAlignment="1">
      <alignment horizontal="center"/>
    </xf>
    <xf numFmtId="168" fontId="23" fillId="0" borderId="38" xfId="3" applyNumberFormat="1" applyFont="1" applyBorder="1" applyAlignment="1">
      <alignment horizontal="center"/>
    </xf>
    <xf numFmtId="0" fontId="24" fillId="0" borderId="39" xfId="3" applyFont="1" applyBorder="1" applyAlignment="1">
      <alignment vertical="center"/>
    </xf>
    <xf numFmtId="168" fontId="23" fillId="0" borderId="40" xfId="3" applyNumberFormat="1" applyFont="1" applyBorder="1" applyAlignment="1">
      <alignment horizontal="center"/>
    </xf>
    <xf numFmtId="0" fontId="24" fillId="0" borderId="36" xfId="3" applyFont="1" applyBorder="1" applyAlignment="1">
      <alignment vertical="center"/>
    </xf>
    <xf numFmtId="168" fontId="23" fillId="0" borderId="36" xfId="3" applyNumberFormat="1" applyFont="1" applyBorder="1" applyAlignment="1">
      <alignment horizontal="center"/>
    </xf>
    <xf numFmtId="0" fontId="24" fillId="0" borderId="15" xfId="3" applyFont="1" applyBorder="1" applyAlignment="1">
      <alignment vertical="center"/>
    </xf>
    <xf numFmtId="168" fontId="23" fillId="0" borderId="37" xfId="3" applyNumberFormat="1" applyFont="1" applyBorder="1" applyAlignment="1">
      <alignment horizontal="center"/>
    </xf>
    <xf numFmtId="0" fontId="23" fillId="0" borderId="41" xfId="3" applyFont="1" applyBorder="1" applyAlignment="1">
      <alignment horizontal="center"/>
    </xf>
    <xf numFmtId="0" fontId="24" fillId="0" borderId="42" xfId="3" applyFont="1" applyBorder="1" applyAlignment="1">
      <alignment vertical="center"/>
    </xf>
    <xf numFmtId="0" fontId="24" fillId="0" borderId="43" xfId="3" applyFont="1" applyBorder="1" applyAlignment="1">
      <alignment vertical="center"/>
    </xf>
    <xf numFmtId="10" fontId="22" fillId="0" borderId="24" xfId="3" applyNumberFormat="1" applyFont="1" applyBorder="1" applyAlignment="1">
      <alignment horizontal="center"/>
    </xf>
    <xf numFmtId="0" fontId="22" fillId="0" borderId="24" xfId="3" applyFont="1" applyBorder="1" applyAlignment="1">
      <alignment horizontal="center"/>
    </xf>
    <xf numFmtId="9" fontId="22" fillId="0" borderId="24" xfId="3" applyNumberFormat="1" applyFont="1" applyBorder="1" applyAlignment="1">
      <alignment horizontal="center"/>
    </xf>
    <xf numFmtId="168" fontId="22" fillId="0" borderId="24" xfId="3" applyNumberFormat="1" applyFont="1" applyBorder="1" applyAlignment="1">
      <alignment horizontal="center"/>
    </xf>
    <xf numFmtId="10" fontId="22" fillId="0" borderId="24" xfId="2" applyNumberFormat="1" applyFont="1" applyFill="1" applyBorder="1" applyAlignment="1">
      <alignment horizontal="center"/>
    </xf>
    <xf numFmtId="10" fontId="24" fillId="0" borderId="23" xfId="2" applyNumberFormat="1" applyFont="1" applyFill="1" applyBorder="1" applyAlignment="1">
      <alignment vertical="center"/>
    </xf>
    <xf numFmtId="0" fontId="23" fillId="0" borderId="32" xfId="3" applyFont="1" applyBorder="1" applyAlignment="1">
      <alignment horizontal="center"/>
    </xf>
    <xf numFmtId="9" fontId="22" fillId="0" borderId="29" xfId="3" applyNumberFormat="1" applyFont="1" applyBorder="1" applyAlignment="1">
      <alignment horizontal="center"/>
    </xf>
    <xf numFmtId="0" fontId="23" fillId="0" borderId="35" xfId="3" applyFont="1" applyBorder="1" applyAlignment="1">
      <alignment horizontal="center"/>
    </xf>
    <xf numFmtId="10" fontId="22" fillId="0" borderId="29" xfId="3" applyNumberFormat="1" applyFont="1" applyBorder="1" applyAlignment="1">
      <alignment horizontal="center"/>
    </xf>
    <xf numFmtId="0" fontId="23" fillId="0" borderId="36" xfId="3" applyFont="1" applyBorder="1" applyAlignment="1">
      <alignment horizontal="center"/>
    </xf>
    <xf numFmtId="10" fontId="22" fillId="0" borderId="38" xfId="2" applyNumberFormat="1" applyFont="1" applyFill="1" applyBorder="1" applyAlignment="1">
      <alignment horizontal="center"/>
    </xf>
    <xf numFmtId="10" fontId="24" fillId="0" borderId="37" xfId="2" applyNumberFormat="1" applyFont="1" applyFill="1" applyBorder="1" applyAlignment="1">
      <alignment vertical="center"/>
    </xf>
    <xf numFmtId="168" fontId="22" fillId="0" borderId="38" xfId="3" applyNumberFormat="1" applyFont="1" applyBorder="1" applyAlignment="1">
      <alignment horizontal="center"/>
    </xf>
    <xf numFmtId="0" fontId="23" fillId="0" borderId="0" xfId="3" applyFont="1" applyAlignment="1">
      <alignment horizontal="center"/>
    </xf>
    <xf numFmtId="0" fontId="21" fillId="0" borderId="0" xfId="3" applyAlignment="1">
      <alignment vertical="center"/>
    </xf>
    <xf numFmtId="0" fontId="22" fillId="0" borderId="40" xfId="3" applyFont="1" applyBorder="1" applyAlignment="1">
      <alignment horizontal="center"/>
    </xf>
    <xf numFmtId="0" fontId="22" fillId="0" borderId="0" xfId="3" applyFont="1" applyAlignment="1">
      <alignment horizontal="left"/>
    </xf>
    <xf numFmtId="168" fontId="23" fillId="0" borderId="0" xfId="3" applyNumberFormat="1" applyFont="1" applyAlignment="1">
      <alignment horizontal="center"/>
    </xf>
    <xf numFmtId="168" fontId="22" fillId="0" borderId="0" xfId="3" applyNumberFormat="1" applyFont="1" applyAlignment="1">
      <alignment horizontal="center"/>
    </xf>
    <xf numFmtId="6" fontId="22" fillId="0" borderId="0" xfId="3" applyNumberFormat="1" applyFont="1" applyAlignment="1">
      <alignment horizontal="center"/>
    </xf>
    <xf numFmtId="43" fontId="27" fillId="19" borderId="0" xfId="1" applyFont="1" applyFill="1"/>
    <xf numFmtId="43" fontId="26" fillId="20" borderId="0" xfId="1" applyFont="1" applyFill="1" applyAlignment="1">
      <alignment horizontal="center"/>
    </xf>
    <xf numFmtId="43" fontId="22" fillId="0" borderId="0" xfId="1" applyFont="1"/>
    <xf numFmtId="168" fontId="22" fillId="0" borderId="0" xfId="1" applyNumberFormat="1" applyFont="1"/>
    <xf numFmtId="168" fontId="22" fillId="0" borderId="0" xfId="4" applyNumberFormat="1" applyFont="1"/>
    <xf numFmtId="43" fontId="26" fillId="21" borderId="0" xfId="1" applyFont="1" applyFill="1"/>
    <xf numFmtId="168" fontId="26" fillId="21" borderId="0" xfId="1" applyNumberFormat="1" applyFont="1" applyFill="1"/>
  </cellXfs>
  <cellStyles count="5">
    <cellStyle name="Millares" xfId="1" builtinId="3"/>
    <cellStyle name="Moneda" xfId="4" builtinId="4"/>
    <cellStyle name="Normal" xfId="0" builtinId="0"/>
    <cellStyle name="Normal 2" xfId="3" xr:uid="{E64E2F9A-985B-4365-AEDD-35E43D7C32D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7"/>
  <sheetViews>
    <sheetView topLeftCell="A9" zoomScaleNormal="100" workbookViewId="0">
      <selection activeCell="C12" sqref="C12"/>
    </sheetView>
  </sheetViews>
  <sheetFormatPr baseColWidth="10" defaultColWidth="9.140625" defaultRowHeight="15" x14ac:dyDescent="0.25"/>
  <cols>
    <col min="1" max="1" width="4" customWidth="1"/>
    <col min="2" max="2" width="22" customWidth="1"/>
    <col min="3" max="3" width="15.140625" customWidth="1"/>
    <col min="4" max="4" width="51.42578125" customWidth="1"/>
    <col min="5" max="5" width="46.5703125" customWidth="1"/>
  </cols>
  <sheetData>
    <row r="2" spans="1:5" ht="21" customHeight="1" x14ac:dyDescent="0.35">
      <c r="B2" s="1" t="s">
        <v>0</v>
      </c>
    </row>
    <row r="3" spans="1:5" x14ac:dyDescent="0.25">
      <c r="B3" s="2" t="s">
        <v>1</v>
      </c>
    </row>
    <row r="5" spans="1:5" ht="20.100000000000001" customHeight="1" x14ac:dyDescent="0.25">
      <c r="A5" s="3"/>
      <c r="B5" s="92" t="s">
        <v>2</v>
      </c>
      <c r="C5" s="92"/>
      <c r="D5" s="92"/>
      <c r="E5" s="92"/>
    </row>
    <row r="6" spans="1:5" x14ac:dyDescent="0.25">
      <c r="B6" s="4" t="s">
        <v>3</v>
      </c>
      <c r="C6" s="5" t="s">
        <v>4</v>
      </c>
    </row>
    <row r="7" spans="1:5" x14ac:dyDescent="0.25">
      <c r="B7" s="4" t="s">
        <v>5</v>
      </c>
      <c r="C7" s="5" t="s">
        <v>6</v>
      </c>
    </row>
    <row r="8" spans="1:5" x14ac:dyDescent="0.25">
      <c r="B8" s="4" t="s">
        <v>7</v>
      </c>
      <c r="C8" s="5" t="s">
        <v>8</v>
      </c>
    </row>
    <row r="9" spans="1:5" x14ac:dyDescent="0.25">
      <c r="B9" s="4" t="s">
        <v>9</v>
      </c>
      <c r="C9" s="5" t="s">
        <v>10</v>
      </c>
    </row>
    <row r="10" spans="1:5" x14ac:dyDescent="0.25">
      <c r="B10" s="4" t="s">
        <v>11</v>
      </c>
      <c r="C10" s="5" t="s">
        <v>12</v>
      </c>
    </row>
    <row r="11" spans="1:5" x14ac:dyDescent="0.25">
      <c r="B11" s="4" t="s">
        <v>13</v>
      </c>
      <c r="C11" s="5" t="s">
        <v>14</v>
      </c>
    </row>
    <row r="12" spans="1:5" x14ac:dyDescent="0.25">
      <c r="B12" s="4" t="s">
        <v>15</v>
      </c>
      <c r="C12" s="6">
        <f>+Inversion!B8</f>
        <v>223780628</v>
      </c>
    </row>
    <row r="14" spans="1:5" ht="20.100000000000001" customHeight="1" x14ac:dyDescent="0.25">
      <c r="A14" s="3"/>
      <c r="B14" s="92" t="s">
        <v>16</v>
      </c>
      <c r="C14" s="92"/>
      <c r="D14" s="92"/>
      <c r="E14" s="92"/>
    </row>
    <row r="15" spans="1:5" ht="24" customHeight="1" x14ac:dyDescent="0.25">
      <c r="A15" s="7"/>
      <c r="B15" s="8" t="s">
        <v>17</v>
      </c>
      <c r="C15" s="8" t="s">
        <v>18</v>
      </c>
      <c r="D15" s="8" t="s">
        <v>19</v>
      </c>
      <c r="E15" s="8" t="s">
        <v>20</v>
      </c>
    </row>
    <row r="16" spans="1:5" s="5" customFormat="1" ht="12.75" customHeight="1" x14ac:dyDescent="0.2">
      <c r="B16" s="4" t="s">
        <v>21</v>
      </c>
      <c r="C16" s="5" t="s">
        <v>22</v>
      </c>
      <c r="D16" s="5" t="s">
        <v>23</v>
      </c>
      <c r="E16" s="5" t="s">
        <v>24</v>
      </c>
    </row>
    <row r="17" spans="2:5" s="5" customFormat="1" ht="12.75" customHeight="1" x14ac:dyDescent="0.2">
      <c r="B17" s="4" t="s">
        <v>25</v>
      </c>
      <c r="C17" s="5" t="s">
        <v>26</v>
      </c>
      <c r="D17" s="5" t="s">
        <v>27</v>
      </c>
      <c r="E17" s="5" t="s">
        <v>28</v>
      </c>
    </row>
    <row r="18" spans="2:5" s="5" customFormat="1" ht="12.75" customHeight="1" x14ac:dyDescent="0.2">
      <c r="B18" s="4" t="s">
        <v>29</v>
      </c>
      <c r="C18" s="5" t="s">
        <v>30</v>
      </c>
      <c r="D18" s="5" t="s">
        <v>31</v>
      </c>
      <c r="E18" s="5" t="s">
        <v>32</v>
      </c>
    </row>
    <row r="19" spans="2:5" s="5" customFormat="1" ht="12.75" customHeight="1" x14ac:dyDescent="0.2">
      <c r="B19" s="4" t="s">
        <v>33</v>
      </c>
      <c r="C19" s="5" t="s">
        <v>34</v>
      </c>
      <c r="D19" s="5" t="s">
        <v>35</v>
      </c>
      <c r="E19" s="5" t="s">
        <v>36</v>
      </c>
    </row>
    <row r="20" spans="2:5" s="5" customFormat="1" ht="12.75" customHeight="1" x14ac:dyDescent="0.2">
      <c r="B20" s="4" t="s">
        <v>37</v>
      </c>
      <c r="C20" s="5" t="s">
        <v>38</v>
      </c>
      <c r="D20" s="5" t="s">
        <v>39</v>
      </c>
      <c r="E20" s="5" t="s">
        <v>40</v>
      </c>
    </row>
    <row r="21" spans="2:5" s="5" customFormat="1" ht="12.75" customHeight="1" x14ac:dyDescent="0.2">
      <c r="B21" s="4" t="s">
        <v>41</v>
      </c>
      <c r="C21" s="5" t="s">
        <v>42</v>
      </c>
      <c r="D21" s="5" t="s">
        <v>43</v>
      </c>
      <c r="E21" s="5" t="s">
        <v>44</v>
      </c>
    </row>
    <row r="22" spans="2:5" s="5" customFormat="1" ht="12.75" customHeight="1" x14ac:dyDescent="0.2">
      <c r="B22" s="4" t="s">
        <v>45</v>
      </c>
      <c r="C22" s="5" t="s">
        <v>46</v>
      </c>
      <c r="D22" s="5" t="s">
        <v>47</v>
      </c>
      <c r="E22" s="5" t="s">
        <v>48</v>
      </c>
    </row>
    <row r="23" spans="2:5" s="5" customFormat="1" ht="12.75" customHeight="1" x14ac:dyDescent="0.2">
      <c r="B23" s="4" t="s">
        <v>49</v>
      </c>
      <c r="C23" s="5" t="s">
        <v>46</v>
      </c>
      <c r="D23" s="5" t="s">
        <v>50</v>
      </c>
      <c r="E23" s="5" t="s">
        <v>51</v>
      </c>
    </row>
    <row r="24" spans="2:5" s="5" customFormat="1" ht="12.75" customHeight="1" x14ac:dyDescent="0.2">
      <c r="B24" s="4" t="s">
        <v>52</v>
      </c>
      <c r="C24" s="5" t="s">
        <v>53</v>
      </c>
      <c r="D24" s="5" t="s">
        <v>54</v>
      </c>
      <c r="E24" s="5" t="s">
        <v>55</v>
      </c>
    </row>
    <row r="25" spans="2:5" x14ac:dyDescent="0.25">
      <c r="B25" t="s">
        <v>56</v>
      </c>
      <c r="C25" t="s">
        <v>57</v>
      </c>
      <c r="D25" t="s">
        <v>58</v>
      </c>
      <c r="E25" t="s">
        <v>59</v>
      </c>
    </row>
    <row r="27" spans="2:5" x14ac:dyDescent="0.25">
      <c r="B27" s="93"/>
      <c r="C27" s="93"/>
      <c r="D27" s="93"/>
      <c r="E27" s="93"/>
    </row>
  </sheetData>
  <mergeCells count="3">
    <mergeCell ref="B5:E5"/>
    <mergeCell ref="B14:E14"/>
    <mergeCell ref="B27:E27"/>
  </mergeCells>
  <pageMargins left="0.7" right="0.7" top="0.75" bottom="0.75" header="0.3" footer="0.3"/>
  <pageSetup orientation="portrait" useFirstPageNumber="1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topLeftCell="A4" zoomScale="80" zoomScaleNormal="80" workbookViewId="0">
      <selection activeCell="B7" sqref="B7"/>
    </sheetView>
  </sheetViews>
  <sheetFormatPr baseColWidth="10" defaultColWidth="9.140625" defaultRowHeight="15" x14ac:dyDescent="0.25"/>
  <cols>
    <col min="1" max="1" width="70.5703125" customWidth="1"/>
    <col min="2" max="2" width="22" customWidth="1"/>
    <col min="3" max="3" width="16" customWidth="1"/>
    <col min="4" max="4" width="27" customWidth="1"/>
    <col min="5" max="5" width="69.85546875" customWidth="1"/>
    <col min="6" max="6" width="16.5703125" bestFit="1" customWidth="1"/>
  </cols>
  <sheetData>
    <row r="1" spans="1:6" ht="18.75" customHeight="1" x14ac:dyDescent="0.3">
      <c r="A1" s="9" t="s">
        <v>60</v>
      </c>
    </row>
    <row r="3" spans="1:6" ht="20.100000000000001" customHeight="1" x14ac:dyDescent="0.25">
      <c r="A3" s="92" t="s">
        <v>61</v>
      </c>
      <c r="B3" s="92"/>
      <c r="C3" s="92"/>
      <c r="D3" s="92"/>
      <c r="E3" s="92"/>
    </row>
    <row r="4" spans="1:6" ht="24" customHeight="1" x14ac:dyDescent="0.25">
      <c r="A4" s="7" t="s">
        <v>62</v>
      </c>
      <c r="B4" s="8" t="s">
        <v>63</v>
      </c>
      <c r="C4" s="8" t="s">
        <v>64</v>
      </c>
      <c r="D4" s="8" t="s">
        <v>65</v>
      </c>
      <c r="E4" s="8" t="s">
        <v>66</v>
      </c>
    </row>
    <row r="5" spans="1:6" x14ac:dyDescent="0.25">
      <c r="A5" t="s">
        <v>67</v>
      </c>
      <c r="B5" s="10">
        <f>D17</f>
        <v>9958928</v>
      </c>
      <c r="C5" s="11">
        <f>B5/$B$8</f>
        <v>4.4503083618122656E-2</v>
      </c>
      <c r="D5" t="s">
        <v>68</v>
      </c>
      <c r="E5" t="s">
        <v>69</v>
      </c>
    </row>
    <row r="6" spans="1:6" x14ac:dyDescent="0.25">
      <c r="A6" t="s">
        <v>70</v>
      </c>
      <c r="B6" s="10">
        <f>B27</f>
        <v>3012000</v>
      </c>
      <c r="C6" s="11">
        <f>B6/$B$8</f>
        <v>1.3459610096366339E-2</v>
      </c>
      <c r="D6" t="s">
        <v>68</v>
      </c>
      <c r="E6" t="s">
        <v>71</v>
      </c>
    </row>
    <row r="7" spans="1:6" x14ac:dyDescent="0.25">
      <c r="A7" t="s">
        <v>575</v>
      </c>
      <c r="B7" s="10">
        <f>(Nomina!D16+Nomina!D30+Nomina!D33+Nomina!B23)*12</f>
        <v>210809700</v>
      </c>
      <c r="C7" s="11">
        <f>B7/$B$8</f>
        <v>0.94203730628551097</v>
      </c>
      <c r="D7" t="s">
        <v>72</v>
      </c>
      <c r="E7" t="s">
        <v>578</v>
      </c>
    </row>
    <row r="8" spans="1:6" ht="20.100000000000001" customHeight="1" x14ac:dyDescent="0.25">
      <c r="A8" s="12" t="s">
        <v>73</v>
      </c>
      <c r="B8" s="13">
        <f>SUM(B5:B7)</f>
        <v>223780628</v>
      </c>
      <c r="C8" s="14">
        <f>SUM(C5:C7)</f>
        <v>1</v>
      </c>
      <c r="D8" s="12" t="s">
        <v>74</v>
      </c>
      <c r="E8" s="12" t="s">
        <v>75</v>
      </c>
    </row>
    <row r="10" spans="1:6" ht="20.100000000000001" customHeight="1" x14ac:dyDescent="0.25">
      <c r="A10" s="92" t="s">
        <v>76</v>
      </c>
      <c r="B10" s="92"/>
      <c r="C10" s="92"/>
      <c r="D10" s="92"/>
      <c r="E10" s="92"/>
    </row>
    <row r="11" spans="1:6" ht="24" customHeight="1" x14ac:dyDescent="0.25">
      <c r="A11" s="7" t="s">
        <v>77</v>
      </c>
      <c r="B11" s="8" t="s">
        <v>78</v>
      </c>
      <c r="C11" s="8" t="s">
        <v>79</v>
      </c>
      <c r="D11" s="8" t="s">
        <v>80</v>
      </c>
      <c r="E11" s="8" t="s">
        <v>81</v>
      </c>
      <c r="F11" s="8" t="s">
        <v>479</v>
      </c>
    </row>
    <row r="12" spans="1:6" x14ac:dyDescent="0.25">
      <c r="A12" t="s">
        <v>82</v>
      </c>
      <c r="B12" s="15">
        <v>2</v>
      </c>
      <c r="C12" s="10">
        <v>3119900</v>
      </c>
      <c r="D12" s="10">
        <f>B12*C12</f>
        <v>6239800</v>
      </c>
      <c r="E12" s="15">
        <v>5</v>
      </c>
      <c r="F12" s="66">
        <f>+D12/E12</f>
        <v>1247960</v>
      </c>
    </row>
    <row r="13" spans="1:6" x14ac:dyDescent="0.25">
      <c r="A13" t="s">
        <v>83</v>
      </c>
      <c r="B13" s="15">
        <v>1</v>
      </c>
      <c r="C13" s="10">
        <v>2199900</v>
      </c>
      <c r="D13" s="10">
        <f>B13*C13</f>
        <v>2199900</v>
      </c>
      <c r="E13" s="15">
        <v>5</v>
      </c>
      <c r="F13" s="66">
        <f t="shared" ref="F13:F16" si="0">+D13/E13</f>
        <v>439980</v>
      </c>
    </row>
    <row r="14" spans="1:6" x14ac:dyDescent="0.25">
      <c r="A14" t="s">
        <v>84</v>
      </c>
      <c r="B14" s="15">
        <v>2</v>
      </c>
      <c r="C14" s="10">
        <v>409900</v>
      </c>
      <c r="D14" s="10">
        <f>B14*C14</f>
        <v>819800</v>
      </c>
      <c r="E14" s="15">
        <v>5</v>
      </c>
      <c r="F14" s="66">
        <f t="shared" si="0"/>
        <v>163960</v>
      </c>
    </row>
    <row r="15" spans="1:6" x14ac:dyDescent="0.25">
      <c r="A15" t="s">
        <v>85</v>
      </c>
      <c r="B15" s="15">
        <v>3</v>
      </c>
      <c r="C15" s="10">
        <f>49990+99990</f>
        <v>149980</v>
      </c>
      <c r="D15" s="10">
        <f>B15*C15</f>
        <v>449940</v>
      </c>
      <c r="E15" s="15">
        <v>5</v>
      </c>
      <c r="F15" s="66">
        <f t="shared" si="0"/>
        <v>89988</v>
      </c>
    </row>
    <row r="16" spans="1:6" x14ac:dyDescent="0.25">
      <c r="A16" t="s">
        <v>86</v>
      </c>
      <c r="B16" s="15">
        <v>1</v>
      </c>
      <c r="C16" s="10">
        <v>249488</v>
      </c>
      <c r="D16" s="10">
        <f>B16*C16</f>
        <v>249488</v>
      </c>
      <c r="E16" s="15">
        <v>5</v>
      </c>
      <c r="F16" s="66">
        <f t="shared" si="0"/>
        <v>49897.599999999999</v>
      </c>
    </row>
    <row r="17" spans="1:6" ht="20.100000000000001" customHeight="1" x14ac:dyDescent="0.25">
      <c r="A17" s="12" t="s">
        <v>87</v>
      </c>
      <c r="B17" s="12">
        <f>SUM(B12:B16)</f>
        <v>9</v>
      </c>
      <c r="C17" s="12"/>
      <c r="D17" s="13">
        <f>SUM(D12:D16)</f>
        <v>9958928</v>
      </c>
      <c r="E17" s="12"/>
      <c r="F17" s="67">
        <f>SUM(F12:F16)</f>
        <v>1991785.6</v>
      </c>
    </row>
    <row r="19" spans="1:6" ht="20.100000000000001" customHeight="1" x14ac:dyDescent="0.25">
      <c r="A19" s="92" t="s">
        <v>88</v>
      </c>
      <c r="B19" s="92"/>
      <c r="C19" s="92"/>
      <c r="D19" s="92"/>
      <c r="E19" s="92"/>
    </row>
    <row r="20" spans="1:6" ht="24" customHeight="1" x14ac:dyDescent="0.25">
      <c r="A20" s="7" t="s">
        <v>89</v>
      </c>
      <c r="B20" s="8" t="s">
        <v>63</v>
      </c>
      <c r="C20" s="8" t="s">
        <v>66</v>
      </c>
      <c r="D20" s="8" t="s">
        <v>75</v>
      </c>
      <c r="E20" s="8" t="s">
        <v>75</v>
      </c>
    </row>
    <row r="21" spans="1:6" x14ac:dyDescent="0.25">
      <c r="A21" t="s">
        <v>90</v>
      </c>
      <c r="B21" s="10">
        <v>350000</v>
      </c>
      <c r="C21" t="s">
        <v>91</v>
      </c>
    </row>
    <row r="22" spans="1:6" x14ac:dyDescent="0.25">
      <c r="A22" t="s">
        <v>92</v>
      </c>
      <c r="B22" s="10">
        <v>0</v>
      </c>
      <c r="C22" t="s">
        <v>93</v>
      </c>
    </row>
    <row r="23" spans="1:6" x14ac:dyDescent="0.25">
      <c r="A23" t="s">
        <v>94</v>
      </c>
      <c r="B23" s="10">
        <f>59000+273000</f>
        <v>332000</v>
      </c>
      <c r="C23" t="s">
        <v>95</v>
      </c>
    </row>
    <row r="24" spans="1:6" x14ac:dyDescent="0.25">
      <c r="A24" t="s">
        <v>96</v>
      </c>
      <c r="B24" s="10">
        <v>950000</v>
      </c>
      <c r="C24" t="s">
        <v>97</v>
      </c>
    </row>
    <row r="25" spans="1:6" x14ac:dyDescent="0.25">
      <c r="A25" t="s">
        <v>98</v>
      </c>
      <c r="B25" s="10">
        <v>680000</v>
      </c>
      <c r="C25" t="s">
        <v>99</v>
      </c>
    </row>
    <row r="26" spans="1:6" x14ac:dyDescent="0.25">
      <c r="A26" t="s">
        <v>100</v>
      </c>
      <c r="B26" s="10">
        <v>700000</v>
      </c>
      <c r="C26" t="s">
        <v>101</v>
      </c>
    </row>
    <row r="27" spans="1:6" ht="20.100000000000001" customHeight="1" x14ac:dyDescent="0.25">
      <c r="A27" s="12" t="s">
        <v>102</v>
      </c>
      <c r="B27" s="13">
        <f>SUM(B21:B26)</f>
        <v>3012000</v>
      </c>
      <c r="C27" s="12"/>
      <c r="D27" s="12"/>
      <c r="E27" s="12"/>
    </row>
    <row r="28" spans="1:6" ht="15.75" customHeight="1" x14ac:dyDescent="0.25"/>
  </sheetData>
  <mergeCells count="3">
    <mergeCell ref="A3:E3"/>
    <mergeCell ref="A10:E10"/>
    <mergeCell ref="A19:E19"/>
  </mergeCells>
  <pageMargins left="0.7" right="0.7" top="0.75" bottom="0.75" header="0.3" footer="0.3"/>
  <pageSetup orientation="portrait" useFirstPageNumber="1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zoomScaleNormal="100" workbookViewId="0">
      <selection activeCell="B7" sqref="B7"/>
    </sheetView>
  </sheetViews>
  <sheetFormatPr baseColWidth="10" defaultColWidth="9.140625" defaultRowHeight="15" x14ac:dyDescent="0.25"/>
  <cols>
    <col min="1" max="1" width="49.85546875" customWidth="1"/>
    <col min="2" max="2" width="25" customWidth="1"/>
    <col min="3" max="3" width="18" customWidth="1"/>
    <col min="4" max="7" width="16" customWidth="1"/>
  </cols>
  <sheetData>
    <row r="1" spans="1:6" ht="18.75" customHeight="1" x14ac:dyDescent="0.3">
      <c r="A1" s="9" t="s">
        <v>169</v>
      </c>
    </row>
    <row r="3" spans="1:6" ht="20.100000000000001" customHeight="1" x14ac:dyDescent="0.25">
      <c r="A3" s="92" t="s">
        <v>170</v>
      </c>
      <c r="B3" s="92"/>
      <c r="C3" s="92"/>
      <c r="D3" s="92"/>
      <c r="E3" s="92"/>
      <c r="F3" s="92"/>
    </row>
    <row r="4" spans="1:6" ht="24" customHeight="1" x14ac:dyDescent="0.25">
      <c r="A4" s="7" t="s">
        <v>171</v>
      </c>
      <c r="B4" s="8" t="s">
        <v>172</v>
      </c>
      <c r="C4" s="8" t="s">
        <v>173</v>
      </c>
      <c r="D4" s="8" t="s">
        <v>174</v>
      </c>
      <c r="E4" s="8" t="s">
        <v>175</v>
      </c>
      <c r="F4" s="8" t="s">
        <v>176</v>
      </c>
    </row>
    <row r="5" spans="1:6" x14ac:dyDescent="0.25">
      <c r="A5" t="s">
        <v>177</v>
      </c>
      <c r="B5" s="10">
        <f>Nomina!E30</f>
        <v>128049800</v>
      </c>
      <c r="C5" s="10">
        <f>(D20 * D21 * 12)</f>
        <v>135732792</v>
      </c>
      <c r="D5" s="10">
        <f>(E20 * E21 * 12)</f>
        <v>143876760</v>
      </c>
      <c r="E5" s="10">
        <f>(F20 * F21 * 12)</f>
        <v>152509368</v>
      </c>
      <c r="F5" s="10">
        <f>(G20 * G21 * 12)</f>
        <v>161659920</v>
      </c>
    </row>
    <row r="6" spans="1:6" x14ac:dyDescent="0.25">
      <c r="A6" t="s">
        <v>178</v>
      </c>
      <c r="B6" s="10">
        <f>Nomina!E33</f>
        <v>32584620</v>
      </c>
      <c r="C6" s="10">
        <f>D23*12</f>
        <v>38139696</v>
      </c>
      <c r="D6" s="10">
        <f>E23*12</f>
        <v>53395572</v>
      </c>
      <c r="E6" s="10">
        <f>F23*12</f>
        <v>69414240</v>
      </c>
      <c r="F6" s="10">
        <f>G23*12</f>
        <v>93709224</v>
      </c>
    </row>
    <row r="7" spans="1:6" ht="20.100000000000001" customHeight="1" x14ac:dyDescent="0.25">
      <c r="A7" s="12" t="s">
        <v>179</v>
      </c>
      <c r="B7" s="13">
        <f>SUM(B5:B6)</f>
        <v>160634420</v>
      </c>
      <c r="C7" s="13">
        <f>SUM(C5:C6)</f>
        <v>173872488</v>
      </c>
      <c r="D7" s="13">
        <f>SUM(D5:D6)</f>
        <v>197272332</v>
      </c>
      <c r="E7" s="13">
        <f>SUM(E5:E6)</f>
        <v>221923608</v>
      </c>
      <c r="F7" s="13">
        <f>SUM(F5:F6)</f>
        <v>255369144</v>
      </c>
    </row>
    <row r="9" spans="1:6" ht="20.100000000000001" customHeight="1" x14ac:dyDescent="0.25">
      <c r="A9" s="92" t="s">
        <v>180</v>
      </c>
      <c r="B9" s="92"/>
      <c r="C9" s="92"/>
      <c r="D9" s="92"/>
      <c r="E9" s="92"/>
      <c r="F9" s="92"/>
    </row>
    <row r="10" spans="1:6" ht="24" customHeight="1" x14ac:dyDescent="0.25">
      <c r="A10" s="7" t="s">
        <v>181</v>
      </c>
      <c r="B10" s="8" t="s">
        <v>182</v>
      </c>
      <c r="C10" s="8" t="s">
        <v>183</v>
      </c>
      <c r="D10" s="8" t="s">
        <v>184</v>
      </c>
      <c r="E10" s="8" t="s">
        <v>185</v>
      </c>
      <c r="F10" s="8" t="s">
        <v>186</v>
      </c>
    </row>
    <row r="11" spans="1:6" x14ac:dyDescent="0.25">
      <c r="A11" t="s">
        <v>585</v>
      </c>
      <c r="B11" s="15">
        <v>1</v>
      </c>
      <c r="C11" s="15">
        <v>1</v>
      </c>
      <c r="D11" s="15">
        <v>2</v>
      </c>
      <c r="E11" s="15">
        <v>2</v>
      </c>
      <c r="F11" s="15">
        <v>3</v>
      </c>
    </row>
    <row r="12" spans="1:6" x14ac:dyDescent="0.25">
      <c r="A12" t="s">
        <v>586</v>
      </c>
      <c r="B12" s="15">
        <v>1</v>
      </c>
      <c r="C12" s="15">
        <v>1</v>
      </c>
      <c r="D12" s="15">
        <v>2</v>
      </c>
      <c r="E12" s="15">
        <v>2</v>
      </c>
      <c r="F12" s="15">
        <v>3</v>
      </c>
    </row>
    <row r="13" spans="1:6" x14ac:dyDescent="0.25">
      <c r="A13" t="s">
        <v>587</v>
      </c>
      <c r="B13" s="15">
        <v>2</v>
      </c>
      <c r="C13" s="15">
        <v>2</v>
      </c>
      <c r="D13" s="15">
        <v>2</v>
      </c>
      <c r="E13" s="15">
        <v>2</v>
      </c>
      <c r="F13" s="15">
        <v>2</v>
      </c>
    </row>
    <row r="14" spans="1:6" x14ac:dyDescent="0.25">
      <c r="A14" s="86" t="s">
        <v>187</v>
      </c>
      <c r="B14" s="87">
        <f>SUM(B11:B13)</f>
        <v>4</v>
      </c>
      <c r="C14" s="87">
        <f>SUM(C11:C13)</f>
        <v>4</v>
      </c>
      <c r="D14" s="87">
        <f>SUM(D11:D13)</f>
        <v>6</v>
      </c>
      <c r="E14" s="87">
        <f>SUM(E11:E13)</f>
        <v>6</v>
      </c>
      <c r="F14" s="87">
        <f>SUM(F11:F13)</f>
        <v>8</v>
      </c>
    </row>
    <row r="15" spans="1:6" ht="20.100000000000001" customHeight="1" x14ac:dyDescent="0.25"/>
    <row r="16" spans="1:6" ht="16.5" customHeight="1" x14ac:dyDescent="0.25"/>
    <row r="17" spans="1:7" ht="24" customHeight="1" x14ac:dyDescent="0.25">
      <c r="A17" s="103" t="s">
        <v>188</v>
      </c>
      <c r="B17" s="104"/>
      <c r="C17" s="104"/>
      <c r="D17" s="104"/>
      <c r="E17" s="104"/>
      <c r="F17" s="104"/>
      <c r="G17" s="105"/>
    </row>
    <row r="18" spans="1:7" ht="48" customHeight="1" x14ac:dyDescent="0.25">
      <c r="A18" s="106" t="s">
        <v>583</v>
      </c>
      <c r="B18" s="107"/>
      <c r="C18" s="107"/>
      <c r="D18" s="107"/>
      <c r="E18" s="107"/>
      <c r="F18" s="107"/>
      <c r="G18" s="108"/>
    </row>
    <row r="19" spans="1:7" ht="21.95" customHeight="1" x14ac:dyDescent="0.25">
      <c r="A19" s="34" t="s">
        <v>189</v>
      </c>
      <c r="B19" s="34" t="s">
        <v>190</v>
      </c>
      <c r="C19" s="34" t="s">
        <v>191</v>
      </c>
      <c r="D19" s="34" t="s">
        <v>173</v>
      </c>
      <c r="E19" s="34" t="s">
        <v>174</v>
      </c>
      <c r="F19" s="34" t="s">
        <v>175</v>
      </c>
      <c r="G19" s="34" t="s">
        <v>176</v>
      </c>
    </row>
    <row r="20" spans="1:7" ht="120" customHeight="1" x14ac:dyDescent="0.25">
      <c r="A20" s="35" t="s">
        <v>588</v>
      </c>
      <c r="B20" s="36" t="s">
        <v>582</v>
      </c>
      <c r="C20" s="37">
        <f>B13</f>
        <v>2</v>
      </c>
      <c r="D20" s="37">
        <f>C13</f>
        <v>2</v>
      </c>
      <c r="E20" s="37">
        <f>D13</f>
        <v>2</v>
      </c>
      <c r="F20" s="37">
        <f>E13</f>
        <v>2</v>
      </c>
      <c r="G20" s="37">
        <f>F13</f>
        <v>2</v>
      </c>
    </row>
    <row r="21" spans="1:7" ht="180" customHeight="1" x14ac:dyDescent="0.25">
      <c r="A21" s="35" t="s">
        <v>192</v>
      </c>
      <c r="B21" s="36" t="s">
        <v>591</v>
      </c>
      <c r="C21" s="83">
        <f>Nomina!E30 / 12 / B13</f>
        <v>5335408.333333333</v>
      </c>
      <c r="D21" s="83">
        <f>ROUND(C21 * 1.06, 0)</f>
        <v>5655533</v>
      </c>
      <c r="E21" s="83">
        <f>ROUND(D21 * 1.06, 0)</f>
        <v>5994865</v>
      </c>
      <c r="F21" s="83">
        <f>ROUND(E21 * 1.06, 0)</f>
        <v>6354557</v>
      </c>
      <c r="G21" s="83">
        <f>ROUND(F21 * 1.06, 0)</f>
        <v>6735830</v>
      </c>
    </row>
    <row r="22" spans="1:7" ht="180" customHeight="1" x14ac:dyDescent="0.25">
      <c r="A22" s="35" t="s">
        <v>589</v>
      </c>
      <c r="B22" s="36" t="s">
        <v>584</v>
      </c>
      <c r="C22" s="37">
        <f>B12</f>
        <v>1</v>
      </c>
      <c r="D22" s="37">
        <f>C12</f>
        <v>1</v>
      </c>
      <c r="E22" s="37">
        <f>D12</f>
        <v>2</v>
      </c>
      <c r="F22" s="37">
        <f>E12</f>
        <v>2</v>
      </c>
      <c r="G22" s="37">
        <f>F12</f>
        <v>3</v>
      </c>
    </row>
    <row r="23" spans="1:7" ht="180" customHeight="1" x14ac:dyDescent="0.25">
      <c r="A23" s="39" t="s">
        <v>193</v>
      </c>
      <c r="B23" s="40" t="s">
        <v>194</v>
      </c>
      <c r="C23" s="41">
        <f>Nomina!E33/12</f>
        <v>2715385</v>
      </c>
      <c r="D23" s="41">
        <f>ROUND(C23*1.06+300000, 0)</f>
        <v>3178308</v>
      </c>
      <c r="E23" s="41">
        <f>ROUND(D23*1.4, 0)</f>
        <v>4449631</v>
      </c>
      <c r="F23" s="41">
        <f>ROUND(E23*1.3, 0)</f>
        <v>5784520</v>
      </c>
      <c r="G23" s="41">
        <f>ROUND(F23*1.35, 0)</f>
        <v>7809102</v>
      </c>
    </row>
    <row r="24" spans="1:7" ht="24" customHeight="1" x14ac:dyDescent="0.25">
      <c r="A24" s="103" t="s">
        <v>476</v>
      </c>
      <c r="B24" s="104"/>
      <c r="C24" s="104"/>
      <c r="D24" s="104"/>
      <c r="E24" s="104"/>
      <c r="F24" s="104"/>
      <c r="G24" s="105"/>
    </row>
    <row r="25" spans="1:7" ht="36" customHeight="1" x14ac:dyDescent="0.25">
      <c r="A25" s="39" t="s">
        <v>195</v>
      </c>
      <c r="B25" s="94" t="s">
        <v>196</v>
      </c>
      <c r="C25" s="95"/>
      <c r="D25" s="95"/>
      <c r="E25" s="95"/>
      <c r="F25" s="95"/>
      <c r="G25" s="96"/>
    </row>
    <row r="26" spans="1:7" ht="36" customHeight="1" x14ac:dyDescent="0.25">
      <c r="A26" s="42" t="s">
        <v>197</v>
      </c>
      <c r="B26" s="97" t="s">
        <v>198</v>
      </c>
      <c r="C26" s="98"/>
      <c r="D26" s="98"/>
      <c r="E26" s="98"/>
      <c r="F26" s="98"/>
      <c r="G26" s="99"/>
    </row>
    <row r="27" spans="1:7" ht="36" customHeight="1" x14ac:dyDescent="0.25">
      <c r="A27" s="43" t="s">
        <v>199</v>
      </c>
      <c r="B27" s="100" t="s">
        <v>200</v>
      </c>
      <c r="C27" s="101"/>
      <c r="D27" s="101"/>
      <c r="E27" s="101"/>
      <c r="F27" s="101"/>
      <c r="G27" s="102"/>
    </row>
  </sheetData>
  <mergeCells count="8">
    <mergeCell ref="B25:G25"/>
    <mergeCell ref="B26:G26"/>
    <mergeCell ref="B27:G27"/>
    <mergeCell ref="A3:F3"/>
    <mergeCell ref="A9:F9"/>
    <mergeCell ref="A17:G17"/>
    <mergeCell ref="A18:G18"/>
    <mergeCell ref="A24:G24"/>
  </mergeCells>
  <pageMargins left="0.7" right="0.7" top="0.75" bottom="0.75" header="0.3" footer="0.3"/>
  <pageSetup orientation="portrait" useFirstPageNumber="1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zoomScaleNormal="100" workbookViewId="0">
      <selection activeCell="C25" sqref="C25"/>
    </sheetView>
  </sheetViews>
  <sheetFormatPr baseColWidth="10" defaultColWidth="9.140625" defaultRowHeight="15" x14ac:dyDescent="0.25"/>
  <cols>
    <col min="1" max="1" width="70.85546875" customWidth="1"/>
    <col min="2" max="2" width="45.7109375" customWidth="1"/>
    <col min="3" max="3" width="18" customWidth="1"/>
    <col min="4" max="7" width="16" customWidth="1"/>
  </cols>
  <sheetData>
    <row r="1" spans="1:6" ht="18.75" customHeight="1" x14ac:dyDescent="0.3">
      <c r="A1" s="9" t="s">
        <v>201</v>
      </c>
    </row>
    <row r="3" spans="1:6" ht="20.100000000000001" customHeight="1" x14ac:dyDescent="0.25">
      <c r="A3" s="92" t="s">
        <v>202</v>
      </c>
      <c r="B3" s="92"/>
      <c r="C3" s="92"/>
      <c r="D3" s="92"/>
      <c r="E3" s="92"/>
      <c r="F3" s="92"/>
    </row>
    <row r="4" spans="1:6" ht="24" customHeight="1" x14ac:dyDescent="0.25">
      <c r="A4" s="7" t="s">
        <v>203</v>
      </c>
      <c r="B4" s="8" t="s">
        <v>172</v>
      </c>
      <c r="C4" s="8" t="s">
        <v>173</v>
      </c>
      <c r="D4" s="8" t="s">
        <v>174</v>
      </c>
      <c r="E4" s="8" t="s">
        <v>175</v>
      </c>
      <c r="F4" s="8" t="s">
        <v>176</v>
      </c>
    </row>
    <row r="5" spans="1:6" x14ac:dyDescent="0.25">
      <c r="A5" t="s">
        <v>204</v>
      </c>
      <c r="B5" s="10">
        <f>+E17</f>
        <v>6457533.5999999996</v>
      </c>
      <c r="C5" s="10">
        <f>(D24) + (Ingresos!B13 * D25)</f>
        <v>11891980</v>
      </c>
      <c r="D5" s="10">
        <f>(E24) + (Ingresos!B14 * E25)</f>
        <v>17909476</v>
      </c>
      <c r="E5" s="10">
        <f>(F24) + (Ingresos!B15 * F25)</f>
        <v>25309464</v>
      </c>
      <c r="F5" s="10">
        <f>(G24) + (Ingresos!B16 * G25)</f>
        <v>32993580</v>
      </c>
    </row>
    <row r="6" spans="1:6" x14ac:dyDescent="0.25">
      <c r="A6" t="s">
        <v>205</v>
      </c>
      <c r="B6" s="10">
        <f>Nomina!E17</f>
        <v>36735280.000000007</v>
      </c>
      <c r="C6" s="10">
        <f>(D26 * D27 * 12)</f>
        <v>38939400</v>
      </c>
      <c r="D6" s="10">
        <f>(E26 * E27 * 12)</f>
        <v>82551528</v>
      </c>
      <c r="E6" s="10">
        <f>(F26 * F27 * 12)</f>
        <v>87504624</v>
      </c>
      <c r="F6" s="10">
        <f>(G26 * G27 * 12)</f>
        <v>139132368</v>
      </c>
    </row>
    <row r="7" spans="1:6" x14ac:dyDescent="0.25">
      <c r="A7" t="s">
        <v>206</v>
      </c>
      <c r="B7" s="10">
        <f>C28 * 12</f>
        <v>13440000</v>
      </c>
      <c r="C7" s="10">
        <f>D28 * 12</f>
        <v>14246400</v>
      </c>
      <c r="D7" s="10">
        <f>E28 * 12</f>
        <v>22651776</v>
      </c>
      <c r="E7" s="10">
        <f>F28 * 12</f>
        <v>24010884</v>
      </c>
      <c r="F7" s="10">
        <f>G28 * 12</f>
        <v>33935376</v>
      </c>
    </row>
    <row r="8" spans="1:6" ht="20.100000000000001" customHeight="1" x14ac:dyDescent="0.25">
      <c r="A8" s="12" t="s">
        <v>207</v>
      </c>
      <c r="B8" s="13">
        <f>SUM(B5:B7)</f>
        <v>56632813.600000009</v>
      </c>
      <c r="C8" s="13">
        <f>SUM(C5:C7)</f>
        <v>65077780</v>
      </c>
      <c r="D8" s="13">
        <f>SUM(D5:D7)</f>
        <v>123112780</v>
      </c>
      <c r="E8" s="13">
        <f>SUM(E5:E7)</f>
        <v>136824972</v>
      </c>
      <c r="F8" s="13">
        <f>SUM(F5:F7)</f>
        <v>206061324</v>
      </c>
    </row>
    <row r="10" spans="1:6" ht="20.100000000000001" customHeight="1" x14ac:dyDescent="0.25">
      <c r="A10" s="92" t="s">
        <v>208</v>
      </c>
      <c r="B10" s="92"/>
      <c r="C10" s="92"/>
      <c r="D10" s="92"/>
      <c r="E10" s="92"/>
      <c r="F10" s="92"/>
    </row>
    <row r="11" spans="1:6" ht="24" customHeight="1" x14ac:dyDescent="0.25">
      <c r="A11" s="7" t="s">
        <v>209</v>
      </c>
      <c r="B11" s="8" t="s">
        <v>210</v>
      </c>
      <c r="C11" s="8" t="s">
        <v>211</v>
      </c>
      <c r="D11" s="8" t="s">
        <v>212</v>
      </c>
      <c r="E11" s="8" t="s">
        <v>213</v>
      </c>
      <c r="F11" s="8" t="s">
        <v>138</v>
      </c>
    </row>
    <row r="12" spans="1:6" x14ac:dyDescent="0.25">
      <c r="A12" t="s">
        <v>214</v>
      </c>
      <c r="B12" s="44">
        <v>25</v>
      </c>
      <c r="C12" s="44">
        <v>3128.65</v>
      </c>
      <c r="D12" s="10">
        <f>B12*C12</f>
        <v>78216.25</v>
      </c>
      <c r="E12" s="10">
        <f>D12*12</f>
        <v>938595</v>
      </c>
      <c r="F12" t="s">
        <v>215</v>
      </c>
    </row>
    <row r="13" spans="1:6" x14ac:dyDescent="0.25">
      <c r="A13" t="s">
        <v>216</v>
      </c>
      <c r="B13" s="44">
        <v>20</v>
      </c>
      <c r="C13" s="44">
        <v>3128.65</v>
      </c>
      <c r="D13" s="10">
        <f>B13*C13</f>
        <v>62573</v>
      </c>
      <c r="E13" s="10">
        <f>D13*12</f>
        <v>750876</v>
      </c>
      <c r="F13" t="s">
        <v>217</v>
      </c>
    </row>
    <row r="14" spans="1:6" x14ac:dyDescent="0.25">
      <c r="A14" t="s">
        <v>218</v>
      </c>
      <c r="B14" s="44">
        <v>20</v>
      </c>
      <c r="C14" s="44">
        <v>3128.65</v>
      </c>
      <c r="D14" s="10">
        <f>B14*C14</f>
        <v>62573</v>
      </c>
      <c r="E14" s="10">
        <f>D14*12</f>
        <v>750876</v>
      </c>
      <c r="F14" t="s">
        <v>219</v>
      </c>
    </row>
    <row r="15" spans="1:6" x14ac:dyDescent="0.25">
      <c r="A15" t="s">
        <v>220</v>
      </c>
      <c r="B15" s="44">
        <f>17+20+20</f>
        <v>57</v>
      </c>
      <c r="C15" s="44">
        <v>3128.65</v>
      </c>
      <c r="D15" s="10">
        <f>B15*C15</f>
        <v>178333.05000000002</v>
      </c>
      <c r="E15" s="10">
        <f>D15*12</f>
        <v>2139996.6</v>
      </c>
      <c r="F15" t="s">
        <v>221</v>
      </c>
    </row>
    <row r="16" spans="1:6" x14ac:dyDescent="0.25">
      <c r="A16" t="s">
        <v>222</v>
      </c>
      <c r="B16" s="44">
        <v>50</v>
      </c>
      <c r="C16" s="44">
        <v>3128.65</v>
      </c>
      <c r="D16" s="10">
        <f>B16*C16</f>
        <v>156432.5</v>
      </c>
      <c r="E16" s="10">
        <f>D16*12</f>
        <v>1877190</v>
      </c>
      <c r="F16" t="s">
        <v>223</v>
      </c>
    </row>
    <row r="17" spans="1:7" ht="20.100000000000001" customHeight="1" x14ac:dyDescent="0.25">
      <c r="A17" s="12" t="s">
        <v>224</v>
      </c>
      <c r="B17" s="12"/>
      <c r="C17" s="12"/>
      <c r="D17" s="13">
        <f>SUM(D12:D16)</f>
        <v>538127.80000000005</v>
      </c>
      <c r="E17" s="13">
        <f>SUM(E12:E16)</f>
        <v>6457533.5999999996</v>
      </c>
      <c r="F17" s="12"/>
    </row>
    <row r="19" spans="1:7" ht="24" customHeight="1" x14ac:dyDescent="0.25">
      <c r="A19" s="103" t="s">
        <v>477</v>
      </c>
      <c r="B19" s="103"/>
      <c r="C19" s="103"/>
      <c r="D19" s="103"/>
      <c r="E19" s="103"/>
      <c r="F19" s="103"/>
      <c r="G19" s="103"/>
    </row>
    <row r="20" spans="1:7" ht="48" customHeight="1" x14ac:dyDescent="0.25">
      <c r="A20" s="106" t="s">
        <v>225</v>
      </c>
      <c r="B20" s="106"/>
      <c r="C20" s="106"/>
      <c r="D20" s="106"/>
      <c r="E20" s="106"/>
      <c r="F20" s="106"/>
      <c r="G20" s="106"/>
    </row>
    <row r="21" spans="1:7" ht="21.95" customHeight="1" x14ac:dyDescent="0.25">
      <c r="A21" s="34" t="s">
        <v>226</v>
      </c>
      <c r="B21" s="34" t="s">
        <v>190</v>
      </c>
      <c r="C21" s="34" t="s">
        <v>191</v>
      </c>
      <c r="D21" s="34" t="s">
        <v>173</v>
      </c>
      <c r="E21" s="34" t="s">
        <v>174</v>
      </c>
      <c r="F21" s="34" t="s">
        <v>175</v>
      </c>
      <c r="G21" s="34" t="s">
        <v>176</v>
      </c>
    </row>
    <row r="22" spans="1:7" ht="45" x14ac:dyDescent="0.25">
      <c r="A22" s="35" t="s">
        <v>227</v>
      </c>
      <c r="B22" s="36" t="s">
        <v>228</v>
      </c>
      <c r="C22" s="37">
        <f>Ingresos!B12</f>
        <v>850</v>
      </c>
      <c r="D22" s="37">
        <f>Ingresos!B13</f>
        <v>1400</v>
      </c>
      <c r="E22" s="37">
        <f>Ingresos!B14</f>
        <v>2000</v>
      </c>
      <c r="F22" s="37">
        <f>Ingresos!B15</f>
        <v>2700</v>
      </c>
      <c r="G22" s="37">
        <f>Ingresos!B16</f>
        <v>3500</v>
      </c>
    </row>
    <row r="23" spans="1:7" ht="60" x14ac:dyDescent="0.25">
      <c r="A23" s="35" t="s">
        <v>229</v>
      </c>
      <c r="B23" s="36" t="s">
        <v>230</v>
      </c>
      <c r="C23" s="83">
        <f>E17/12</f>
        <v>538127.79999999993</v>
      </c>
      <c r="D23" s="83">
        <f>ROUND(C23*1.06, 0)</f>
        <v>570415</v>
      </c>
      <c r="E23" s="83">
        <f>ROUND(D23*1.5, 0)</f>
        <v>855623</v>
      </c>
      <c r="F23" s="83">
        <f>ROUND(E23*1.4, 0)</f>
        <v>1197872</v>
      </c>
      <c r="G23" s="83">
        <f>ROUND(F23*1.25, 0)</f>
        <v>1497340</v>
      </c>
    </row>
    <row r="24" spans="1:7" ht="45.95" customHeight="1" x14ac:dyDescent="0.25">
      <c r="A24" s="39" t="s">
        <v>231</v>
      </c>
      <c r="B24" s="40" t="s">
        <v>232</v>
      </c>
      <c r="C24" s="84">
        <f>C23*12</f>
        <v>6457533.5999999996</v>
      </c>
      <c r="D24" s="84">
        <f>D23*12</f>
        <v>6844980</v>
      </c>
      <c r="E24" s="84">
        <f>E23*12</f>
        <v>10267476</v>
      </c>
      <c r="F24" s="84">
        <f>F23*12</f>
        <v>14374464</v>
      </c>
      <c r="G24" s="84">
        <f>G23*12</f>
        <v>17968080</v>
      </c>
    </row>
    <row r="25" spans="1:7" ht="45" customHeight="1" x14ac:dyDescent="0.25">
      <c r="A25" s="35" t="s">
        <v>233</v>
      </c>
      <c r="B25" s="36" t="s">
        <v>579</v>
      </c>
      <c r="C25" s="85">
        <f>ROUND((D14+D15)*12/C22, 0)</f>
        <v>3401</v>
      </c>
      <c r="D25" s="83">
        <f>ROUND(C25*1.06, 0)</f>
        <v>3605</v>
      </c>
      <c r="E25" s="83">
        <f>ROUND(D25*1.06, 0)</f>
        <v>3821</v>
      </c>
      <c r="F25" s="83">
        <f>ROUND(E25*1.06, 0)</f>
        <v>4050</v>
      </c>
      <c r="G25" s="83">
        <f>ROUND(F25*1.06, 0)</f>
        <v>4293</v>
      </c>
    </row>
    <row r="26" spans="1:7" ht="45" x14ac:dyDescent="0.25">
      <c r="A26" s="35" t="s">
        <v>234</v>
      </c>
      <c r="B26" s="36" t="s">
        <v>235</v>
      </c>
      <c r="C26" s="37">
        <f>Gastos!B11</f>
        <v>1</v>
      </c>
      <c r="D26" s="37">
        <f>Gastos!C11</f>
        <v>1</v>
      </c>
      <c r="E26" s="37">
        <f>Gastos!D11</f>
        <v>2</v>
      </c>
      <c r="F26" s="37">
        <f>Gastos!E11</f>
        <v>2</v>
      </c>
      <c r="G26" s="37">
        <f>Gastos!F11</f>
        <v>3</v>
      </c>
    </row>
    <row r="27" spans="1:7" ht="60" x14ac:dyDescent="0.25">
      <c r="A27" s="35" t="s">
        <v>236</v>
      </c>
      <c r="B27" s="36" t="s">
        <v>237</v>
      </c>
      <c r="C27" s="83">
        <f>Nomina!D15</f>
        <v>3061273.333333334</v>
      </c>
      <c r="D27" s="83">
        <f>ROUND(C27*1.06, 0)</f>
        <v>3244950</v>
      </c>
      <c r="E27" s="83">
        <f>ROUND(D27*1.06, 0)</f>
        <v>3439647</v>
      </c>
      <c r="F27" s="83">
        <f>ROUND(E27*1.06, 0)</f>
        <v>3646026</v>
      </c>
      <c r="G27" s="83">
        <f>ROUND(F27*1.06, 0)</f>
        <v>3864788</v>
      </c>
    </row>
    <row r="28" spans="1:7" ht="60" x14ac:dyDescent="0.25">
      <c r="A28" s="35" t="s">
        <v>238</v>
      </c>
      <c r="B28" s="36" t="s">
        <v>590</v>
      </c>
      <c r="C28" s="83">
        <f>Nomina!B23</f>
        <v>1120000</v>
      </c>
      <c r="D28" s="83">
        <f>ROUND((Gastos!C14 / Gastos!B14) * (Nomina!$B$23 * 1.06), 0)</f>
        <v>1187200</v>
      </c>
      <c r="E28" s="83">
        <f>ROUND((Gastos!D14 / Gastos!B14) * (Nomina!$B$23 * (1.06^2)), 0)</f>
        <v>1887648</v>
      </c>
      <c r="F28" s="83">
        <f>ROUND((Gastos!E14 / Gastos!B14) * (Nomina!$B$23 * (1.06^3)), 0)</f>
        <v>2000907</v>
      </c>
      <c r="G28" s="83">
        <f>ROUND((Gastos!F14 / Gastos!B14) * (Nomina!$B$23 * (1.06^4)), 0)</f>
        <v>2827948</v>
      </c>
    </row>
    <row r="29" spans="1:7" ht="24" customHeight="1" x14ac:dyDescent="0.25">
      <c r="A29" s="103" t="s">
        <v>478</v>
      </c>
      <c r="B29" s="103"/>
      <c r="C29" s="103"/>
      <c r="D29" s="103"/>
      <c r="E29" s="103"/>
      <c r="F29" s="103"/>
      <c r="G29" s="103"/>
    </row>
    <row r="30" spans="1:7" ht="36" customHeight="1" x14ac:dyDescent="0.25">
      <c r="A30" s="39" t="s">
        <v>239</v>
      </c>
      <c r="B30" s="94" t="s">
        <v>240</v>
      </c>
      <c r="C30" s="94"/>
      <c r="D30" s="94"/>
      <c r="E30" s="94"/>
      <c r="F30" s="94"/>
      <c r="G30" s="94"/>
    </row>
    <row r="31" spans="1:7" ht="36" customHeight="1" x14ac:dyDescent="0.25">
      <c r="A31" s="42" t="s">
        <v>241</v>
      </c>
      <c r="B31" s="97" t="s">
        <v>242</v>
      </c>
      <c r="C31" s="97"/>
      <c r="D31" s="97"/>
      <c r="E31" s="97"/>
      <c r="F31" s="97"/>
      <c r="G31" s="97"/>
    </row>
    <row r="32" spans="1:7" ht="36" customHeight="1" x14ac:dyDescent="0.25">
      <c r="A32" s="39" t="s">
        <v>243</v>
      </c>
      <c r="B32" s="94" t="s">
        <v>244</v>
      </c>
      <c r="C32" s="94"/>
      <c r="D32" s="94"/>
      <c r="E32" s="94"/>
      <c r="F32" s="94"/>
      <c r="G32" s="94"/>
    </row>
  </sheetData>
  <mergeCells count="8">
    <mergeCell ref="B30:G30"/>
    <mergeCell ref="B31:G31"/>
    <mergeCell ref="B32:G32"/>
    <mergeCell ref="A3:F3"/>
    <mergeCell ref="A10:F10"/>
    <mergeCell ref="A19:G19"/>
    <mergeCell ref="A20:G20"/>
    <mergeCell ref="A29:G29"/>
  </mergeCells>
  <pageMargins left="0.7" right="0.7" top="0.75" bottom="0.75" header="0.3" footer="0.3"/>
  <pageSetup orientation="portrait" useFirstPageNumber="1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zoomScale="80" zoomScaleNormal="80" workbookViewId="0">
      <selection activeCell="B16" sqref="B16"/>
    </sheetView>
  </sheetViews>
  <sheetFormatPr baseColWidth="10" defaultColWidth="9.140625" defaultRowHeight="15" x14ac:dyDescent="0.25"/>
  <cols>
    <col min="1" max="1" width="58.5703125" customWidth="1"/>
    <col min="2" max="2" width="22" customWidth="1"/>
    <col min="3" max="3" width="18" customWidth="1"/>
    <col min="4" max="4" width="27.28515625" customWidth="1"/>
    <col min="5" max="5" width="45" customWidth="1"/>
  </cols>
  <sheetData>
    <row r="1" spans="1:5" ht="18.75" customHeight="1" x14ac:dyDescent="0.3">
      <c r="A1" s="9" t="s">
        <v>245</v>
      </c>
    </row>
    <row r="3" spans="1:5" ht="20.100000000000001" customHeight="1" x14ac:dyDescent="0.25">
      <c r="A3" s="92" t="s">
        <v>246</v>
      </c>
      <c r="B3" s="92"/>
      <c r="C3" s="92"/>
      <c r="D3" s="92"/>
      <c r="E3" s="92"/>
    </row>
    <row r="4" spans="1:5" ht="24" customHeight="1" x14ac:dyDescent="0.25">
      <c r="A4" s="7" t="s">
        <v>247</v>
      </c>
      <c r="B4" s="8" t="s">
        <v>248</v>
      </c>
      <c r="C4" s="8" t="s">
        <v>249</v>
      </c>
      <c r="D4" s="8" t="s">
        <v>250</v>
      </c>
      <c r="E4" s="8" t="s">
        <v>66</v>
      </c>
    </row>
    <row r="5" spans="1:5" x14ac:dyDescent="0.25">
      <c r="A5" t="s">
        <v>251</v>
      </c>
      <c r="B5" s="10">
        <f>+'1. Portada'!C12*0.5</f>
        <v>111890314</v>
      </c>
      <c r="C5" s="11">
        <f>B5/$B$7</f>
        <v>0.5</v>
      </c>
      <c r="D5" t="s">
        <v>252</v>
      </c>
      <c r="E5" t="s">
        <v>253</v>
      </c>
    </row>
    <row r="6" spans="1:5" x14ac:dyDescent="0.25">
      <c r="A6" t="s">
        <v>254</v>
      </c>
      <c r="B6" s="10">
        <f>+'1. Portada'!C12*0.5</f>
        <v>111890314</v>
      </c>
      <c r="C6" s="11">
        <f>B6/$B$7</f>
        <v>0.5</v>
      </c>
      <c r="D6" t="s">
        <v>255</v>
      </c>
      <c r="E6" t="s">
        <v>256</v>
      </c>
    </row>
    <row r="7" spans="1:5" ht="20.100000000000001" customHeight="1" x14ac:dyDescent="0.25">
      <c r="A7" s="12" t="s">
        <v>257</v>
      </c>
      <c r="B7" s="13">
        <f>SUM(B5:B6)</f>
        <v>223780628</v>
      </c>
      <c r="C7" s="14">
        <f>SUM(C5:C6)</f>
        <v>1</v>
      </c>
      <c r="D7" s="12" t="s">
        <v>75</v>
      </c>
      <c r="E7" s="12" t="s">
        <v>258</v>
      </c>
    </row>
    <row r="9" spans="1:5" ht="20.100000000000001" customHeight="1" x14ac:dyDescent="0.25">
      <c r="A9" s="92" t="s">
        <v>259</v>
      </c>
      <c r="B9" s="92"/>
      <c r="C9" s="92"/>
      <c r="D9" s="92"/>
      <c r="E9" s="92"/>
    </row>
    <row r="10" spans="1:5" ht="24" customHeight="1" x14ac:dyDescent="0.25">
      <c r="A10" s="7" t="s">
        <v>260</v>
      </c>
      <c r="B10" s="8" t="s">
        <v>261</v>
      </c>
      <c r="C10" s="8" t="s">
        <v>262</v>
      </c>
      <c r="D10" s="8" t="s">
        <v>263</v>
      </c>
      <c r="E10" s="8" t="s">
        <v>138</v>
      </c>
    </row>
    <row r="11" spans="1:5" x14ac:dyDescent="0.25">
      <c r="A11" t="s">
        <v>264</v>
      </c>
      <c r="B11" s="10">
        <f>B6</f>
        <v>111890314</v>
      </c>
      <c r="C11" t="s">
        <v>265</v>
      </c>
      <c r="D11" s="10">
        <f>B6</f>
        <v>111890314</v>
      </c>
      <c r="E11" t="s">
        <v>266</v>
      </c>
    </row>
    <row r="12" spans="1:5" x14ac:dyDescent="0.25">
      <c r="A12" t="s">
        <v>267</v>
      </c>
      <c r="B12" s="46">
        <v>1.35E-2</v>
      </c>
      <c r="C12" t="s">
        <v>268</v>
      </c>
      <c r="D12" t="s">
        <v>269</v>
      </c>
      <c r="E12" t="s">
        <v>270</v>
      </c>
    </row>
    <row r="13" spans="1:5" x14ac:dyDescent="0.25">
      <c r="A13" t="s">
        <v>271</v>
      </c>
      <c r="B13" s="15">
        <v>36</v>
      </c>
      <c r="C13" t="s">
        <v>272</v>
      </c>
      <c r="D13" t="s">
        <v>273</v>
      </c>
      <c r="E13" t="s">
        <v>274</v>
      </c>
    </row>
    <row r="14" spans="1:5" x14ac:dyDescent="0.25">
      <c r="A14" t="s">
        <v>275</v>
      </c>
      <c r="B14" s="47">
        <f>PMT(B12,B13,-B11)</f>
        <v>3944788.4910501782</v>
      </c>
      <c r="C14" t="s">
        <v>276</v>
      </c>
      <c r="D14" t="s">
        <v>277</v>
      </c>
      <c r="E14" t="s">
        <v>278</v>
      </c>
    </row>
    <row r="15" spans="1:5" x14ac:dyDescent="0.25">
      <c r="A15" t="s">
        <v>279</v>
      </c>
      <c r="B15" s="10">
        <f>B14*B13</f>
        <v>142012385.67780641</v>
      </c>
      <c r="C15" t="s">
        <v>265</v>
      </c>
      <c r="D15" t="s">
        <v>280</v>
      </c>
      <c r="E15" t="s">
        <v>281</v>
      </c>
    </row>
    <row r="16" spans="1:5" x14ac:dyDescent="0.25">
      <c r="A16" t="s">
        <v>282</v>
      </c>
      <c r="B16" s="10">
        <f>B15-B11</f>
        <v>30122071.677806407</v>
      </c>
      <c r="C16" t="s">
        <v>265</v>
      </c>
      <c r="D16" t="s">
        <v>283</v>
      </c>
      <c r="E16" t="s">
        <v>284</v>
      </c>
    </row>
  </sheetData>
  <mergeCells count="2">
    <mergeCell ref="A3:E3"/>
    <mergeCell ref="A9:E9"/>
  </mergeCells>
  <pageMargins left="0.7" right="0.7" top="0.75" bottom="0.75" header="0.3" footer="0.3"/>
  <pageSetup orientation="portrait" useFirstPageNumber="1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1"/>
  <sheetViews>
    <sheetView topLeftCell="A3" zoomScaleNormal="100" workbookViewId="0">
      <selection activeCell="D15" sqref="D15"/>
    </sheetView>
  </sheetViews>
  <sheetFormatPr baseColWidth="10" defaultColWidth="9.140625" defaultRowHeight="15" x14ac:dyDescent="0.25"/>
  <cols>
    <col min="1" max="1" width="16" customWidth="1"/>
    <col min="2" max="6" width="24" customWidth="1"/>
  </cols>
  <sheetData>
    <row r="1" spans="1:6" ht="18.75" customHeight="1" x14ac:dyDescent="0.3">
      <c r="A1" s="9" t="s">
        <v>574</v>
      </c>
    </row>
    <row r="3" spans="1:6" ht="20.100000000000001" customHeight="1" x14ac:dyDescent="0.25">
      <c r="A3" s="92" t="s">
        <v>285</v>
      </c>
      <c r="B3" s="92"/>
      <c r="C3" s="92"/>
      <c r="D3" s="92"/>
      <c r="E3" s="92"/>
      <c r="F3" s="92"/>
    </row>
    <row r="4" spans="1:6" ht="24" customHeight="1" x14ac:dyDescent="0.25">
      <c r="A4" s="7" t="s">
        <v>286</v>
      </c>
      <c r="B4" s="8" t="s">
        <v>287</v>
      </c>
      <c r="C4" s="8" t="s">
        <v>288</v>
      </c>
      <c r="D4" s="8" t="s">
        <v>289</v>
      </c>
      <c r="E4" s="8" t="s">
        <v>290</v>
      </c>
      <c r="F4" s="8" t="s">
        <v>291</v>
      </c>
    </row>
    <row r="5" spans="1:6" x14ac:dyDescent="0.25">
      <c r="A5" s="5" t="s">
        <v>292</v>
      </c>
      <c r="B5" s="10">
        <f>Capital!B11</f>
        <v>111890314</v>
      </c>
      <c r="C5" s="10">
        <f>Capital!$B$14</f>
        <v>3944788.4910501782</v>
      </c>
      <c r="D5" s="10">
        <f>B5*Capital!$B$12</f>
        <v>1510519.2390000001</v>
      </c>
      <c r="E5" s="10">
        <f>C5-D5</f>
        <v>2434269.2520501781</v>
      </c>
      <c r="F5" s="10">
        <f>MAX(B5-E5,0)</f>
        <v>109456044.74794982</v>
      </c>
    </row>
    <row r="6" spans="1:6" x14ac:dyDescent="0.25">
      <c r="A6" s="5" t="s">
        <v>293</v>
      </c>
      <c r="B6" s="10">
        <f t="shared" ref="B6:B40" si="0">F5</f>
        <v>109456044.74794982</v>
      </c>
      <c r="C6" s="10">
        <f>Capital!$B$14</f>
        <v>3944788.4910501782</v>
      </c>
      <c r="D6" s="10">
        <f>B6*Capital!$B$12</f>
        <v>1477656.6040973226</v>
      </c>
      <c r="E6" s="10">
        <f t="shared" ref="E6:E40" si="1">C6-D6</f>
        <v>2467131.8869528556</v>
      </c>
      <c r="F6" s="10">
        <f t="shared" ref="F6:F40" si="2">MAX(B6-E6,0)</f>
        <v>106988912.86099696</v>
      </c>
    </row>
    <row r="7" spans="1:6" x14ac:dyDescent="0.25">
      <c r="A7" s="5" t="s">
        <v>294</v>
      </c>
      <c r="B7" s="10">
        <f t="shared" si="0"/>
        <v>106988912.86099696</v>
      </c>
      <c r="C7" s="10">
        <f>Capital!$B$14</f>
        <v>3944788.4910501782</v>
      </c>
      <c r="D7" s="10">
        <f>B7*Capital!$B$12</f>
        <v>1444350.3236234589</v>
      </c>
      <c r="E7" s="10">
        <f t="shared" si="1"/>
        <v>2500438.1674267193</v>
      </c>
      <c r="F7" s="10">
        <f t="shared" si="2"/>
        <v>104488474.69357024</v>
      </c>
    </row>
    <row r="8" spans="1:6" x14ac:dyDescent="0.25">
      <c r="A8" s="5" t="s">
        <v>295</v>
      </c>
      <c r="B8" s="10">
        <f t="shared" si="0"/>
        <v>104488474.69357024</v>
      </c>
      <c r="C8" s="10">
        <f>Capital!$B$14</f>
        <v>3944788.4910501782</v>
      </c>
      <c r="D8" s="10">
        <f>B8*Capital!$B$12</f>
        <v>1410594.4083631982</v>
      </c>
      <c r="E8" s="10">
        <f t="shared" si="1"/>
        <v>2534194.0826869803</v>
      </c>
      <c r="F8" s="10">
        <f t="shared" si="2"/>
        <v>101954280.61088327</v>
      </c>
    </row>
    <row r="9" spans="1:6" x14ac:dyDescent="0.25">
      <c r="A9" s="5" t="s">
        <v>296</v>
      </c>
      <c r="B9" s="10">
        <f t="shared" si="0"/>
        <v>101954280.61088327</v>
      </c>
      <c r="C9" s="10">
        <f>Capital!$B$14</f>
        <v>3944788.4910501782</v>
      </c>
      <c r="D9" s="10">
        <f>B9*Capital!$B$12</f>
        <v>1376382.7882469241</v>
      </c>
      <c r="E9" s="10">
        <f t="shared" si="1"/>
        <v>2568405.7028032541</v>
      </c>
      <c r="F9" s="10">
        <f t="shared" si="2"/>
        <v>99385874.908080012</v>
      </c>
    </row>
    <row r="10" spans="1:6" x14ac:dyDescent="0.25">
      <c r="A10" s="5" t="s">
        <v>297</v>
      </c>
      <c r="B10" s="10">
        <f t="shared" si="0"/>
        <v>99385874.908080012</v>
      </c>
      <c r="C10" s="10">
        <f>Capital!$B$14</f>
        <v>3944788.4910501782</v>
      </c>
      <c r="D10" s="10">
        <f>B10*Capital!$B$12</f>
        <v>1341709.3112590802</v>
      </c>
      <c r="E10" s="10">
        <f t="shared" si="1"/>
        <v>2603079.179791098</v>
      </c>
      <c r="F10" s="10">
        <f t="shared" si="2"/>
        <v>96782795.728288919</v>
      </c>
    </row>
    <row r="11" spans="1:6" x14ac:dyDescent="0.25">
      <c r="A11" s="5" t="s">
        <v>298</v>
      </c>
      <c r="B11" s="10">
        <f t="shared" si="0"/>
        <v>96782795.728288919</v>
      </c>
      <c r="C11" s="10">
        <f>Capital!$B$14</f>
        <v>3944788.4910501782</v>
      </c>
      <c r="D11" s="10">
        <f>B11*Capital!$B$12</f>
        <v>1306567.7423319004</v>
      </c>
      <c r="E11" s="10">
        <f t="shared" si="1"/>
        <v>2638220.7487182776</v>
      </c>
      <c r="F11" s="10">
        <f t="shared" si="2"/>
        <v>94144574.979570642</v>
      </c>
    </row>
    <row r="12" spans="1:6" x14ac:dyDescent="0.25">
      <c r="A12" s="5" t="s">
        <v>299</v>
      </c>
      <c r="B12" s="10">
        <f t="shared" si="0"/>
        <v>94144574.979570642</v>
      </c>
      <c r="C12" s="10">
        <f>Capital!$B$14</f>
        <v>3944788.4910501782</v>
      </c>
      <c r="D12" s="10">
        <f>B12*Capital!$B$12</f>
        <v>1270951.7622242037</v>
      </c>
      <c r="E12" s="10">
        <f t="shared" si="1"/>
        <v>2673836.7288259743</v>
      </c>
      <c r="F12" s="10">
        <f t="shared" si="2"/>
        <v>91470738.250744671</v>
      </c>
    </row>
    <row r="13" spans="1:6" x14ac:dyDescent="0.25">
      <c r="A13" s="5" t="s">
        <v>300</v>
      </c>
      <c r="B13" s="10">
        <f t="shared" si="0"/>
        <v>91470738.250744671</v>
      </c>
      <c r="C13" s="10">
        <f>Capital!$B$14</f>
        <v>3944788.4910501782</v>
      </c>
      <c r="D13" s="10">
        <f>B13*Capital!$B$12</f>
        <v>1234854.966385053</v>
      </c>
      <c r="E13" s="10">
        <f t="shared" si="1"/>
        <v>2709933.5246651252</v>
      </c>
      <c r="F13" s="10">
        <f t="shared" si="2"/>
        <v>88760804.726079538</v>
      </c>
    </row>
    <row r="14" spans="1:6" x14ac:dyDescent="0.25">
      <c r="A14" s="5" t="s">
        <v>301</v>
      </c>
      <c r="B14" s="10">
        <f t="shared" si="0"/>
        <v>88760804.726079538</v>
      </c>
      <c r="C14" s="10">
        <f>Capital!$B$14</f>
        <v>3944788.4910501782</v>
      </c>
      <c r="D14" s="10">
        <f>B14*Capital!$B$12</f>
        <v>1198270.8638020738</v>
      </c>
      <c r="E14" s="10">
        <f t="shared" si="1"/>
        <v>2746517.6272481047</v>
      </c>
      <c r="F14" s="10">
        <f t="shared" si="2"/>
        <v>86014287.09883143</v>
      </c>
    </row>
    <row r="15" spans="1:6" x14ac:dyDescent="0.25">
      <c r="A15" s="5" t="s">
        <v>302</v>
      </c>
      <c r="B15" s="10">
        <f t="shared" si="0"/>
        <v>86014287.09883143</v>
      </c>
      <c r="C15" s="10">
        <f>Capital!$B$14</f>
        <v>3944788.4910501782</v>
      </c>
      <c r="D15" s="10">
        <f>B15*Capital!$B$12</f>
        <v>1161192.8758342243</v>
      </c>
      <c r="E15" s="10">
        <f t="shared" si="1"/>
        <v>2783595.6152159539</v>
      </c>
      <c r="F15" s="10">
        <f t="shared" si="2"/>
        <v>83230691.483615473</v>
      </c>
    </row>
    <row r="16" spans="1:6" x14ac:dyDescent="0.25">
      <c r="A16" s="5" t="s">
        <v>303</v>
      </c>
      <c r="B16" s="10">
        <f t="shared" si="0"/>
        <v>83230691.483615473</v>
      </c>
      <c r="C16" s="10">
        <f>Capital!$B$14</f>
        <v>3944788.4910501782</v>
      </c>
      <c r="D16" s="10">
        <f>B16*Capital!$B$12</f>
        <v>1123614.3350288088</v>
      </c>
      <c r="E16" s="10">
        <f t="shared" si="1"/>
        <v>2821174.1560213696</v>
      </c>
      <c r="F16" s="10">
        <f t="shared" si="2"/>
        <v>80409517.327594101</v>
      </c>
    </row>
    <row r="17" spans="1:6" x14ac:dyDescent="0.25">
      <c r="A17" s="5" t="s">
        <v>304</v>
      </c>
      <c r="B17" s="10">
        <f t="shared" si="0"/>
        <v>80409517.327594101</v>
      </c>
      <c r="C17" s="10">
        <f>Capital!$B$14</f>
        <v>3944788.4910501782</v>
      </c>
      <c r="D17" s="10">
        <f>B17*Capital!$B$12</f>
        <v>1085528.4839225204</v>
      </c>
      <c r="E17" s="10">
        <f t="shared" si="1"/>
        <v>2859260.0071276575</v>
      </c>
      <c r="F17" s="10">
        <f t="shared" si="2"/>
        <v>77550257.320466444</v>
      </c>
    </row>
    <row r="18" spans="1:6" x14ac:dyDescent="0.25">
      <c r="A18" s="5" t="s">
        <v>305</v>
      </c>
      <c r="B18" s="10">
        <f t="shared" si="0"/>
        <v>77550257.320466444</v>
      </c>
      <c r="C18" s="10">
        <f>Capital!$B$14</f>
        <v>3944788.4910501782</v>
      </c>
      <c r="D18" s="10">
        <f>B18*Capital!$B$12</f>
        <v>1046928.473826297</v>
      </c>
      <c r="E18" s="10">
        <f t="shared" si="1"/>
        <v>2897860.0172238811</v>
      </c>
      <c r="F18" s="10">
        <f t="shared" si="2"/>
        <v>74652397.303242564</v>
      </c>
    </row>
    <row r="19" spans="1:6" x14ac:dyDescent="0.25">
      <c r="A19" s="5" t="s">
        <v>306</v>
      </c>
      <c r="B19" s="10">
        <f t="shared" si="0"/>
        <v>74652397.303242564</v>
      </c>
      <c r="C19" s="10">
        <f>Capital!$B$14</f>
        <v>3944788.4910501782</v>
      </c>
      <c r="D19" s="10">
        <f>B19*Capital!$B$12</f>
        <v>1007807.3635937746</v>
      </c>
      <c r="E19" s="10">
        <f t="shared" si="1"/>
        <v>2936981.1274564033</v>
      </c>
      <c r="F19" s="10">
        <f t="shared" si="2"/>
        <v>71715416.175786167</v>
      </c>
    </row>
    <row r="20" spans="1:6" x14ac:dyDescent="0.25">
      <c r="A20" s="5" t="s">
        <v>307</v>
      </c>
      <c r="B20" s="10">
        <f t="shared" si="0"/>
        <v>71715416.175786167</v>
      </c>
      <c r="C20" s="10">
        <f>Capital!$B$14</f>
        <v>3944788.4910501782</v>
      </c>
      <c r="D20" s="10">
        <f>B20*Capital!$B$12</f>
        <v>968158.11837311322</v>
      </c>
      <c r="E20" s="10">
        <f t="shared" si="1"/>
        <v>2976630.372677065</v>
      </c>
      <c r="F20" s="10">
        <f t="shared" si="2"/>
        <v>68738785.803109109</v>
      </c>
    </row>
    <row r="21" spans="1:6" x14ac:dyDescent="0.25">
      <c r="A21" s="5" t="s">
        <v>308</v>
      </c>
      <c r="B21" s="10">
        <f t="shared" si="0"/>
        <v>68738785.803109109</v>
      </c>
      <c r="C21" s="10">
        <f>Capital!$B$14</f>
        <v>3944788.4910501782</v>
      </c>
      <c r="D21" s="10">
        <f>B21*Capital!$B$12</f>
        <v>927973.60834197293</v>
      </c>
      <c r="E21" s="10">
        <f t="shared" si="1"/>
        <v>3016814.8827082054</v>
      </c>
      <c r="F21" s="10">
        <f t="shared" si="2"/>
        <v>65721970.920400903</v>
      </c>
    </row>
    <row r="22" spans="1:6" x14ac:dyDescent="0.25">
      <c r="A22" s="5" t="s">
        <v>309</v>
      </c>
      <c r="B22" s="10">
        <f t="shared" si="0"/>
        <v>65721970.920400903</v>
      </c>
      <c r="C22" s="10">
        <f>Capital!$B$14</f>
        <v>3944788.4910501782</v>
      </c>
      <c r="D22" s="10">
        <f>B22*Capital!$B$12</f>
        <v>887246.60742541216</v>
      </c>
      <c r="E22" s="10">
        <f t="shared" si="1"/>
        <v>3057541.883624766</v>
      </c>
      <c r="F22" s="10">
        <f t="shared" si="2"/>
        <v>62664429.03677614</v>
      </c>
    </row>
    <row r="23" spans="1:6" x14ac:dyDescent="0.25">
      <c r="A23" s="5" t="s">
        <v>310</v>
      </c>
      <c r="B23" s="10">
        <f t="shared" si="0"/>
        <v>62664429.03677614</v>
      </c>
      <c r="C23" s="10">
        <f>Capital!$B$14</f>
        <v>3944788.4910501782</v>
      </c>
      <c r="D23" s="10">
        <f>B23*Capital!$B$12</f>
        <v>845969.79199647787</v>
      </c>
      <c r="E23" s="10">
        <f t="shared" si="1"/>
        <v>3098818.6990537001</v>
      </c>
      <c r="F23" s="10">
        <f t="shared" si="2"/>
        <v>59565610.337722443</v>
      </c>
    </row>
    <row r="24" spans="1:6" x14ac:dyDescent="0.25">
      <c r="A24" s="5" t="s">
        <v>311</v>
      </c>
      <c r="B24" s="10">
        <f t="shared" si="0"/>
        <v>59565610.337722443</v>
      </c>
      <c r="C24" s="10">
        <f>Capital!$B$14</f>
        <v>3944788.4910501782</v>
      </c>
      <c r="D24" s="10">
        <f>B24*Capital!$B$12</f>
        <v>804135.73955925298</v>
      </c>
      <c r="E24" s="10">
        <f t="shared" si="1"/>
        <v>3140652.7514909254</v>
      </c>
      <c r="F24" s="10">
        <f t="shared" si="2"/>
        <v>56424957.586231515</v>
      </c>
    </row>
    <row r="25" spans="1:6" x14ac:dyDescent="0.25">
      <c r="A25" s="5" t="s">
        <v>312</v>
      </c>
      <c r="B25" s="10">
        <f t="shared" si="0"/>
        <v>56424957.586231515</v>
      </c>
      <c r="C25" s="10">
        <f>Capital!$B$14</f>
        <v>3944788.4910501782</v>
      </c>
      <c r="D25" s="10">
        <f>B25*Capital!$B$12</f>
        <v>761736.92741412541</v>
      </c>
      <c r="E25" s="10">
        <f t="shared" si="1"/>
        <v>3183051.5636360529</v>
      </c>
      <c r="F25" s="10">
        <f t="shared" si="2"/>
        <v>53241906.022595465</v>
      </c>
    </row>
    <row r="26" spans="1:6" x14ac:dyDescent="0.25">
      <c r="A26" s="5" t="s">
        <v>313</v>
      </c>
      <c r="B26" s="10">
        <f t="shared" si="0"/>
        <v>53241906.022595465</v>
      </c>
      <c r="C26" s="10">
        <f>Capital!$B$14</f>
        <v>3944788.4910501782</v>
      </c>
      <c r="D26" s="10">
        <f>B26*Capital!$B$12</f>
        <v>718765.73130503879</v>
      </c>
      <c r="E26" s="10">
        <f t="shared" si="1"/>
        <v>3226022.7597451396</v>
      </c>
      <c r="F26" s="10">
        <f t="shared" si="2"/>
        <v>50015883.262850329</v>
      </c>
    </row>
    <row r="27" spans="1:6" x14ac:dyDescent="0.25">
      <c r="A27" s="5" t="s">
        <v>314</v>
      </c>
      <c r="B27" s="10">
        <f t="shared" si="0"/>
        <v>50015883.262850329</v>
      </c>
      <c r="C27" s="10">
        <f>Capital!$B$14</f>
        <v>3944788.4910501782</v>
      </c>
      <c r="D27" s="10">
        <f>B27*Capital!$B$12</f>
        <v>675214.42404847941</v>
      </c>
      <c r="E27" s="10">
        <f t="shared" si="1"/>
        <v>3269574.0670016985</v>
      </c>
      <c r="F27" s="10">
        <f t="shared" si="2"/>
        <v>46746309.195848629</v>
      </c>
    </row>
    <row r="28" spans="1:6" x14ac:dyDescent="0.25">
      <c r="A28" s="5" t="s">
        <v>315</v>
      </c>
      <c r="B28" s="10">
        <f t="shared" si="0"/>
        <v>46746309.195848629</v>
      </c>
      <c r="C28" s="10">
        <f>Capital!$B$14</f>
        <v>3944788.4910501782</v>
      </c>
      <c r="D28" s="10">
        <f>B28*Capital!$B$12</f>
        <v>631075.17414395651</v>
      </c>
      <c r="E28" s="10">
        <f t="shared" si="1"/>
        <v>3313713.3169062217</v>
      </c>
      <c r="F28" s="10">
        <f t="shared" si="2"/>
        <v>43432595.878942408</v>
      </c>
    </row>
    <row r="29" spans="1:6" x14ac:dyDescent="0.25">
      <c r="A29" s="5" t="s">
        <v>316</v>
      </c>
      <c r="B29" s="10">
        <f t="shared" si="0"/>
        <v>43432595.878942408</v>
      </c>
      <c r="C29" s="10">
        <f>Capital!$B$14</f>
        <v>3944788.4910501782</v>
      </c>
      <c r="D29" s="10">
        <f>B29*Capital!$B$12</f>
        <v>586340.04436572245</v>
      </c>
      <c r="E29" s="10">
        <f t="shared" si="1"/>
        <v>3358448.4466844555</v>
      </c>
      <c r="F29" s="10">
        <f t="shared" si="2"/>
        <v>40074147.43225795</v>
      </c>
    </row>
    <row r="30" spans="1:6" x14ac:dyDescent="0.25">
      <c r="A30" s="5" t="s">
        <v>317</v>
      </c>
      <c r="B30" s="10">
        <f t="shared" si="0"/>
        <v>40074147.43225795</v>
      </c>
      <c r="C30" s="10">
        <f>Capital!$B$14</f>
        <v>3944788.4910501782</v>
      </c>
      <c r="D30" s="10">
        <f>B30*Capital!$B$12</f>
        <v>541000.99033548229</v>
      </c>
      <c r="E30" s="10">
        <f t="shared" si="1"/>
        <v>3403787.500714696</v>
      </c>
      <c r="F30" s="10">
        <f t="shared" si="2"/>
        <v>36670359.931543253</v>
      </c>
    </row>
    <row r="31" spans="1:6" x14ac:dyDescent="0.25">
      <c r="A31" s="5" t="s">
        <v>318</v>
      </c>
      <c r="B31" s="10">
        <f t="shared" si="0"/>
        <v>36670359.931543253</v>
      </c>
      <c r="C31" s="10">
        <f>Capital!$B$14</f>
        <v>3944788.4910501782</v>
      </c>
      <c r="D31" s="10">
        <f>B31*Capital!$B$12</f>
        <v>495049.85907583393</v>
      </c>
      <c r="E31" s="10">
        <f t="shared" si="1"/>
        <v>3449738.6319743441</v>
      </c>
      <c r="F31" s="10">
        <f t="shared" si="2"/>
        <v>33220621.29956891</v>
      </c>
    </row>
    <row r="32" spans="1:6" x14ac:dyDescent="0.25">
      <c r="A32" s="5" t="s">
        <v>319</v>
      </c>
      <c r="B32" s="10">
        <f t="shared" si="0"/>
        <v>33220621.29956891</v>
      </c>
      <c r="C32" s="10">
        <f>Capital!$B$14</f>
        <v>3944788.4910501782</v>
      </c>
      <c r="D32" s="10">
        <f>B32*Capital!$B$12</f>
        <v>448478.38754418027</v>
      </c>
      <c r="E32" s="10">
        <f t="shared" si="1"/>
        <v>3496310.1035059979</v>
      </c>
      <c r="F32" s="10">
        <f t="shared" si="2"/>
        <v>29724311.196062911</v>
      </c>
    </row>
    <row r="33" spans="1:6" x14ac:dyDescent="0.25">
      <c r="A33" s="5" t="s">
        <v>320</v>
      </c>
      <c r="B33" s="10">
        <f t="shared" si="0"/>
        <v>29724311.196062911</v>
      </c>
      <c r="C33" s="10">
        <f>Capital!$B$14</f>
        <v>3944788.4910501782</v>
      </c>
      <c r="D33" s="10">
        <f>B33*Capital!$B$12</f>
        <v>401278.20114684931</v>
      </c>
      <c r="E33" s="10">
        <f t="shared" si="1"/>
        <v>3543510.2899033288</v>
      </c>
      <c r="F33" s="10">
        <f t="shared" si="2"/>
        <v>26180800.906159583</v>
      </c>
    </row>
    <row r="34" spans="1:6" x14ac:dyDescent="0.25">
      <c r="A34" s="5" t="s">
        <v>321</v>
      </c>
      <c r="B34" s="10">
        <f t="shared" si="0"/>
        <v>26180800.906159583</v>
      </c>
      <c r="C34" s="10">
        <f>Capital!$B$14</f>
        <v>3944788.4910501782</v>
      </c>
      <c r="D34" s="10">
        <f>B34*Capital!$B$12</f>
        <v>353440.81223315437</v>
      </c>
      <c r="E34" s="10">
        <f t="shared" si="1"/>
        <v>3591347.678817024</v>
      </c>
      <c r="F34" s="10">
        <f t="shared" si="2"/>
        <v>22589453.227342561</v>
      </c>
    </row>
    <row r="35" spans="1:6" x14ac:dyDescent="0.25">
      <c r="A35" s="5" t="s">
        <v>322</v>
      </c>
      <c r="B35" s="10">
        <f t="shared" si="0"/>
        <v>22589453.227342561</v>
      </c>
      <c r="C35" s="10">
        <f>Capital!$B$14</f>
        <v>3944788.4910501782</v>
      </c>
      <c r="D35" s="10">
        <f>B35*Capital!$B$12</f>
        <v>304957.61856912455</v>
      </c>
      <c r="E35" s="10">
        <f t="shared" si="1"/>
        <v>3639830.8724810537</v>
      </c>
      <c r="F35" s="10">
        <f t="shared" si="2"/>
        <v>18949622.354861505</v>
      </c>
    </row>
    <row r="36" spans="1:6" x14ac:dyDescent="0.25">
      <c r="A36" s="5" t="s">
        <v>323</v>
      </c>
      <c r="B36" s="10">
        <f t="shared" si="0"/>
        <v>18949622.354861505</v>
      </c>
      <c r="C36" s="10">
        <f>Capital!$B$14</f>
        <v>3944788.4910501782</v>
      </c>
      <c r="D36" s="10">
        <f>B36*Capital!$B$12</f>
        <v>255819.90179063031</v>
      </c>
      <c r="E36" s="10">
        <f t="shared" si="1"/>
        <v>3688968.5892595481</v>
      </c>
      <c r="F36" s="10">
        <f t="shared" si="2"/>
        <v>15260653.765601957</v>
      </c>
    </row>
    <row r="37" spans="1:6" x14ac:dyDescent="0.25">
      <c r="A37" s="5" t="s">
        <v>324</v>
      </c>
      <c r="B37" s="10">
        <f t="shared" si="0"/>
        <v>15260653.765601957</v>
      </c>
      <c r="C37" s="10">
        <f>Capital!$B$14</f>
        <v>3944788.4910501782</v>
      </c>
      <c r="D37" s="10">
        <f>B37*Capital!$B$12</f>
        <v>206018.82583562643</v>
      </c>
      <c r="E37" s="10">
        <f t="shared" si="1"/>
        <v>3738769.6652145516</v>
      </c>
      <c r="F37" s="10">
        <f t="shared" si="2"/>
        <v>11521884.100387406</v>
      </c>
    </row>
    <row r="38" spans="1:6" x14ac:dyDescent="0.25">
      <c r="A38" s="5" t="s">
        <v>325</v>
      </c>
      <c r="B38" s="10">
        <f t="shared" si="0"/>
        <v>11521884.100387406</v>
      </c>
      <c r="C38" s="10">
        <f>Capital!$B$14</f>
        <v>3944788.4910501782</v>
      </c>
      <c r="D38" s="10">
        <f>B38*Capital!$B$12</f>
        <v>155545.43535522997</v>
      </c>
      <c r="E38" s="10">
        <f t="shared" si="1"/>
        <v>3789243.0556949484</v>
      </c>
      <c r="F38" s="10">
        <f t="shared" si="2"/>
        <v>7732641.0446924567</v>
      </c>
    </row>
    <row r="39" spans="1:6" x14ac:dyDescent="0.25">
      <c r="A39" s="5" t="s">
        <v>326</v>
      </c>
      <c r="B39" s="10">
        <f t="shared" si="0"/>
        <v>7732641.0446924567</v>
      </c>
      <c r="C39" s="10">
        <f>Capital!$B$14</f>
        <v>3944788.4910501782</v>
      </c>
      <c r="D39" s="10">
        <f>B39*Capital!$B$12</f>
        <v>104390.65410334816</v>
      </c>
      <c r="E39" s="10">
        <f t="shared" si="1"/>
        <v>3840397.8369468302</v>
      </c>
      <c r="F39" s="10">
        <f t="shared" si="2"/>
        <v>3892243.2077456266</v>
      </c>
    </row>
    <row r="40" spans="1:6" x14ac:dyDescent="0.25">
      <c r="A40" s="5" t="s">
        <v>327</v>
      </c>
      <c r="B40" s="10">
        <f t="shared" si="0"/>
        <v>3892243.2077456266</v>
      </c>
      <c r="C40" s="10">
        <f>Capital!$B$14</f>
        <v>3944788.4910501782</v>
      </c>
      <c r="D40" s="10">
        <f>B40*Capital!$B$12</f>
        <v>52545.283304565957</v>
      </c>
      <c r="E40" s="10">
        <f t="shared" si="1"/>
        <v>3892243.2077456121</v>
      </c>
      <c r="F40" s="10">
        <f t="shared" si="2"/>
        <v>1.4435499906539917E-8</v>
      </c>
    </row>
    <row r="41" spans="1:6" ht="20.100000000000001" customHeight="1" x14ac:dyDescent="0.25">
      <c r="A41" s="12" t="s">
        <v>328</v>
      </c>
      <c r="B41" s="12"/>
      <c r="C41" s="13">
        <f>SUM(C5:C40)</f>
        <v>142012385.6778065</v>
      </c>
      <c r="D41" s="13">
        <f>SUM(D5:D40)</f>
        <v>30122071.677806418</v>
      </c>
      <c r="E41" s="13">
        <f>SUM(E5:E40)</f>
        <v>111890313.99999999</v>
      </c>
      <c r="F41" s="13">
        <v>0</v>
      </c>
    </row>
  </sheetData>
  <mergeCells count="1">
    <mergeCell ref="A3:F3"/>
  </mergeCells>
  <pageMargins left="0.7" right="0.7" top="0.75" bottom="0.75" header="0.3" footer="0.3"/>
  <pageSetup orientation="portrait" useFirstPageNumber="1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3"/>
  <sheetViews>
    <sheetView topLeftCell="A3" zoomScale="80" zoomScaleNormal="80" workbookViewId="0">
      <selection activeCell="B13" sqref="B13"/>
    </sheetView>
  </sheetViews>
  <sheetFormatPr baseColWidth="10" defaultColWidth="9.140625" defaultRowHeight="15" x14ac:dyDescent="0.25"/>
  <cols>
    <col min="1" max="1" width="28" customWidth="1"/>
    <col min="2" max="2" width="24" customWidth="1"/>
    <col min="3" max="4" width="28" customWidth="1"/>
    <col min="5" max="5" width="30" customWidth="1"/>
    <col min="6" max="6" width="32" customWidth="1"/>
    <col min="7" max="7" width="9.85546875" bestFit="1" customWidth="1"/>
  </cols>
  <sheetData>
    <row r="1" spans="1:6" ht="18.75" customHeight="1" x14ac:dyDescent="0.3">
      <c r="A1" s="9" t="s">
        <v>329</v>
      </c>
    </row>
    <row r="3" spans="1:6" ht="20.100000000000001" customHeight="1" x14ac:dyDescent="0.25">
      <c r="A3" s="92" t="s">
        <v>330</v>
      </c>
      <c r="B3" s="92"/>
      <c r="C3" s="92"/>
      <c r="D3" s="92"/>
      <c r="E3" s="92"/>
      <c r="F3" s="92"/>
    </row>
    <row r="4" spans="1:6" ht="24" customHeight="1" x14ac:dyDescent="0.25">
      <c r="A4" s="7" t="s">
        <v>331</v>
      </c>
      <c r="B4" s="8" t="s">
        <v>332</v>
      </c>
      <c r="C4" s="8" t="s">
        <v>333</v>
      </c>
      <c r="D4" s="8" t="s">
        <v>334</v>
      </c>
      <c r="E4" s="8" t="s">
        <v>335</v>
      </c>
      <c r="F4" s="8" t="s">
        <v>75</v>
      </c>
    </row>
    <row r="5" spans="1:6" x14ac:dyDescent="0.25">
      <c r="A5" t="s">
        <v>336</v>
      </c>
      <c r="B5" s="10">
        <v>14900</v>
      </c>
      <c r="C5" s="11">
        <v>0.45</v>
      </c>
      <c r="D5" s="10">
        <f>B5*C5</f>
        <v>6705</v>
      </c>
      <c r="E5" t="s">
        <v>337</v>
      </c>
    </row>
    <row r="6" spans="1:6" x14ac:dyDescent="0.25">
      <c r="A6" t="s">
        <v>338</v>
      </c>
      <c r="B6" s="10">
        <v>24900</v>
      </c>
      <c r="C6" s="11">
        <v>0.38</v>
      </c>
      <c r="D6" s="10">
        <f>B6*C6</f>
        <v>9462</v>
      </c>
      <c r="E6" t="s">
        <v>339</v>
      </c>
    </row>
    <row r="7" spans="1:6" x14ac:dyDescent="0.25">
      <c r="A7" t="s">
        <v>340</v>
      </c>
      <c r="B7" s="10">
        <v>39900</v>
      </c>
      <c r="C7" s="11">
        <v>0.17</v>
      </c>
      <c r="D7" s="10">
        <f>B7*C7</f>
        <v>6783.0000000000009</v>
      </c>
      <c r="E7" t="s">
        <v>341</v>
      </c>
    </row>
    <row r="8" spans="1:6" ht="20.100000000000001" customHeight="1" x14ac:dyDescent="0.25">
      <c r="A8" s="12" t="s">
        <v>342</v>
      </c>
      <c r="B8" s="12"/>
      <c r="C8" s="14">
        <f>SUM(C5:C7)</f>
        <v>1</v>
      </c>
      <c r="D8" s="13">
        <f>SUM(D5:D7)</f>
        <v>22950</v>
      </c>
      <c r="E8" s="12"/>
      <c r="F8" s="12"/>
    </row>
    <row r="10" spans="1:6" ht="20.100000000000001" customHeight="1" x14ac:dyDescent="0.25">
      <c r="A10" s="92" t="s">
        <v>343</v>
      </c>
      <c r="B10" s="92"/>
      <c r="C10" s="92"/>
      <c r="D10" s="92"/>
      <c r="E10" s="92"/>
      <c r="F10" s="92"/>
    </row>
    <row r="11" spans="1:6" ht="24" customHeight="1" x14ac:dyDescent="0.25">
      <c r="A11" s="7" t="s">
        <v>344</v>
      </c>
      <c r="B11" s="8" t="s">
        <v>345</v>
      </c>
      <c r="C11" s="8" t="s">
        <v>346</v>
      </c>
      <c r="D11" s="8" t="s">
        <v>347</v>
      </c>
      <c r="E11" s="8" t="s">
        <v>348</v>
      </c>
      <c r="F11" s="8" t="s">
        <v>349</v>
      </c>
    </row>
    <row r="12" spans="1:6" x14ac:dyDescent="0.25">
      <c r="A12" t="s">
        <v>172</v>
      </c>
      <c r="B12">
        <v>850</v>
      </c>
      <c r="C12" s="10">
        <f>B12*$B$5*$C$5*12</f>
        <v>68391000</v>
      </c>
      <c r="D12" s="10">
        <f>B12*$B$6*$C$6*12</f>
        <v>96512400</v>
      </c>
      <c r="E12" s="10">
        <f>B12*$B$7*$C$7*12</f>
        <v>69186600</v>
      </c>
      <c r="F12" s="48">
        <f>SUM(C12:E12)</f>
        <v>234090000</v>
      </c>
    </row>
    <row r="13" spans="1:6" x14ac:dyDescent="0.25">
      <c r="A13" t="s">
        <v>173</v>
      </c>
      <c r="B13">
        <v>1400</v>
      </c>
      <c r="C13" s="10">
        <f>B13*$B$5*$C$5*12</f>
        <v>112644000</v>
      </c>
      <c r="D13" s="10">
        <f>B13*$B$6*$C$6*12</f>
        <v>158961600</v>
      </c>
      <c r="E13" s="10">
        <f>B13*$B$7*$C$7*12</f>
        <v>113954400</v>
      </c>
      <c r="F13" s="48">
        <f>SUM(C13:E13)</f>
        <v>385560000</v>
      </c>
    </row>
    <row r="14" spans="1:6" x14ac:dyDescent="0.25">
      <c r="A14" t="s">
        <v>174</v>
      </c>
      <c r="B14">
        <v>2000</v>
      </c>
      <c r="C14" s="10">
        <f>B14*$B$5*$C$5*12</f>
        <v>160920000</v>
      </c>
      <c r="D14" s="10">
        <f>B14*$B$6*$C$6*12</f>
        <v>227088000</v>
      </c>
      <c r="E14" s="10">
        <f>B14*$B$7*$C$7*12</f>
        <v>162792000.00000003</v>
      </c>
      <c r="F14" s="48">
        <f>SUM(C14:E14)</f>
        <v>550800000</v>
      </c>
    </row>
    <row r="15" spans="1:6" x14ac:dyDescent="0.25">
      <c r="A15" t="s">
        <v>175</v>
      </c>
      <c r="B15">
        <v>2700</v>
      </c>
      <c r="C15" s="10">
        <f>B15*$B$5*$C$5*12</f>
        <v>217242000</v>
      </c>
      <c r="D15" s="10">
        <f>B15*$B$6*$C$6*12</f>
        <v>306568800</v>
      </c>
      <c r="E15" s="10">
        <f>B15*$B$7*$C$7*12</f>
        <v>219769200</v>
      </c>
      <c r="F15" s="48">
        <f>SUM(C15:E15)</f>
        <v>743580000</v>
      </c>
    </row>
    <row r="16" spans="1:6" x14ac:dyDescent="0.25">
      <c r="A16" t="s">
        <v>176</v>
      </c>
      <c r="B16">
        <v>3500</v>
      </c>
      <c r="C16" s="10">
        <f>B16*$B$5*$C$5*12</f>
        <v>281610000</v>
      </c>
      <c r="D16" s="10">
        <f>B16*$B$6*$C$6*12</f>
        <v>397404000</v>
      </c>
      <c r="E16" s="10">
        <f>B16*$B$7*$C$7*12</f>
        <v>284886000</v>
      </c>
      <c r="F16" s="48">
        <f>SUM(C16:E16)</f>
        <v>963900000</v>
      </c>
    </row>
    <row r="18" spans="1:6" ht="20.100000000000001" customHeight="1" x14ac:dyDescent="0.25">
      <c r="A18" s="92" t="s">
        <v>350</v>
      </c>
      <c r="B18" s="92"/>
      <c r="C18" s="92"/>
      <c r="D18" s="92"/>
      <c r="E18" s="92"/>
      <c r="F18" s="92"/>
    </row>
    <row r="19" spans="1:6" ht="24" customHeight="1" x14ac:dyDescent="0.25">
      <c r="A19" s="7" t="s">
        <v>351</v>
      </c>
      <c r="B19" s="8" t="s">
        <v>352</v>
      </c>
      <c r="C19" s="8" t="s">
        <v>353</v>
      </c>
      <c r="D19" s="8" t="s">
        <v>75</v>
      </c>
      <c r="E19" s="8" t="s">
        <v>75</v>
      </c>
      <c r="F19" s="8" t="s">
        <v>75</v>
      </c>
    </row>
    <row r="20" spans="1:6" x14ac:dyDescent="0.25">
      <c r="A20" t="s">
        <v>354</v>
      </c>
      <c r="B20" s="11">
        <f>(B13-B12)/B12</f>
        <v>0.6470588235294118</v>
      </c>
      <c r="C20" s="11">
        <f>(F13-F12)/F12</f>
        <v>0.6470588235294118</v>
      </c>
    </row>
    <row r="21" spans="1:6" x14ac:dyDescent="0.25">
      <c r="A21" t="s">
        <v>355</v>
      </c>
      <c r="B21" s="11">
        <f>(B14-B13)/B13</f>
        <v>0.42857142857142855</v>
      </c>
      <c r="C21" s="11">
        <f>(F14-F13)/F13</f>
        <v>0.42857142857142855</v>
      </c>
      <c r="F21" s="10"/>
    </row>
    <row r="22" spans="1:6" x14ac:dyDescent="0.25">
      <c r="A22" t="s">
        <v>356</v>
      </c>
      <c r="B22" s="11">
        <f>(B15-B14)/B14</f>
        <v>0.35</v>
      </c>
      <c r="C22" s="11">
        <f>(F15-F14)/F14</f>
        <v>0.35</v>
      </c>
    </row>
    <row r="23" spans="1:6" x14ac:dyDescent="0.25">
      <c r="A23" t="s">
        <v>357</v>
      </c>
      <c r="B23" s="11">
        <f>(B16-B15)/B15</f>
        <v>0.29629629629629628</v>
      </c>
      <c r="C23" s="11">
        <f>(F16-F15)/F15</f>
        <v>0.29629629629629628</v>
      </c>
    </row>
  </sheetData>
  <mergeCells count="3">
    <mergeCell ref="A3:F3"/>
    <mergeCell ref="A10:F10"/>
    <mergeCell ref="A18:F18"/>
  </mergeCells>
  <pageMargins left="0.7" right="0.7" top="0.75" bottom="0.75" header="0.3" footer="0.3"/>
  <pageSetup orientation="portrait" useFirstPageNumber="1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zoomScaleNormal="100" workbookViewId="0">
      <selection activeCell="A10" sqref="A10:F11"/>
    </sheetView>
  </sheetViews>
  <sheetFormatPr baseColWidth="10" defaultColWidth="9.140625" defaultRowHeight="15" x14ac:dyDescent="0.25"/>
  <cols>
    <col min="1" max="1" width="46" customWidth="1"/>
    <col min="2" max="6" width="20" customWidth="1"/>
  </cols>
  <sheetData>
    <row r="1" spans="1:6" ht="18.75" customHeight="1" x14ac:dyDescent="0.3">
      <c r="A1" s="9" t="s">
        <v>358</v>
      </c>
    </row>
    <row r="3" spans="1:6" ht="20.100000000000001" customHeight="1" x14ac:dyDescent="0.25">
      <c r="A3" s="92" t="s">
        <v>359</v>
      </c>
      <c r="B3" s="92"/>
      <c r="C3" s="92"/>
      <c r="D3" s="92"/>
      <c r="E3" s="92"/>
      <c r="F3" s="92"/>
    </row>
    <row r="4" spans="1:6" ht="24" customHeight="1" x14ac:dyDescent="0.25">
      <c r="A4" s="7" t="s">
        <v>360</v>
      </c>
      <c r="B4" s="8" t="s">
        <v>172</v>
      </c>
      <c r="C4" s="8" t="s">
        <v>173</v>
      </c>
      <c r="D4" s="8" t="s">
        <v>174</v>
      </c>
      <c r="E4" s="8" t="s">
        <v>175</v>
      </c>
      <c r="F4" s="8" t="s">
        <v>176</v>
      </c>
    </row>
    <row r="5" spans="1:6" x14ac:dyDescent="0.25">
      <c r="A5" t="s">
        <v>361</v>
      </c>
      <c r="B5" s="48">
        <f>Ingresos!F12</f>
        <v>234090000</v>
      </c>
      <c r="C5" s="48">
        <f>Ingresos!F13</f>
        <v>385560000</v>
      </c>
      <c r="D5" s="48">
        <f>Ingresos!F14</f>
        <v>550800000</v>
      </c>
      <c r="E5" s="48">
        <f>Ingresos!F15</f>
        <v>743580000</v>
      </c>
      <c r="F5" s="48">
        <f>Ingresos!F16</f>
        <v>963900000</v>
      </c>
    </row>
    <row r="6" spans="1:6" x14ac:dyDescent="0.25">
      <c r="A6" t="s">
        <v>362</v>
      </c>
      <c r="B6" s="10">
        <f>Costos!B8</f>
        <v>56632813.600000009</v>
      </c>
      <c r="C6" s="10">
        <f>Costos!C8</f>
        <v>65077780</v>
      </c>
      <c r="D6" s="10">
        <f>Costos!D8</f>
        <v>123112780</v>
      </c>
      <c r="E6" s="10">
        <f>Costos!E8</f>
        <v>136824972</v>
      </c>
      <c r="F6" s="10">
        <f>Costos!F8</f>
        <v>206061324</v>
      </c>
    </row>
    <row r="7" spans="1:6" x14ac:dyDescent="0.25">
      <c r="A7" t="s">
        <v>363</v>
      </c>
      <c r="B7" s="48">
        <f>B5-B6</f>
        <v>177457186.39999998</v>
      </c>
      <c r="C7" s="48">
        <f>C5-C6</f>
        <v>320482220</v>
      </c>
      <c r="D7" s="48">
        <f>D5-D6</f>
        <v>427687220</v>
      </c>
      <c r="E7" s="48">
        <f>E5-E6</f>
        <v>606755028</v>
      </c>
      <c r="F7" s="48">
        <f>F5-F6</f>
        <v>757838676</v>
      </c>
    </row>
    <row r="8" spans="1:6" x14ac:dyDescent="0.25">
      <c r="A8" t="s">
        <v>364</v>
      </c>
      <c r="B8" s="10">
        <f>+Gastos!B7</f>
        <v>160634420</v>
      </c>
      <c r="C8" s="10">
        <f>+Gastos!C7</f>
        <v>173872488</v>
      </c>
      <c r="D8" s="10">
        <f>+Gastos!D7</f>
        <v>197272332</v>
      </c>
      <c r="E8" s="10">
        <f>+Gastos!E7</f>
        <v>221923608</v>
      </c>
      <c r="F8" s="10">
        <f>+Gastos!F7</f>
        <v>255369144</v>
      </c>
    </row>
    <row r="9" spans="1:6" x14ac:dyDescent="0.25">
      <c r="A9" s="68" t="s">
        <v>480</v>
      </c>
      <c r="B9" s="69">
        <f>B7-B8</f>
        <v>16822766.399999976</v>
      </c>
      <c r="C9" s="69">
        <f>C7-C8</f>
        <v>146609732</v>
      </c>
      <c r="D9" s="69">
        <f>D7-D8</f>
        <v>230414888</v>
      </c>
      <c r="E9" s="69">
        <f>E7-E8</f>
        <v>384831420</v>
      </c>
      <c r="F9" s="69">
        <f>F7-F8</f>
        <v>502469532</v>
      </c>
    </row>
    <row r="10" spans="1:6" x14ac:dyDescent="0.25">
      <c r="A10" t="s">
        <v>365</v>
      </c>
      <c r="B10" s="10">
        <f>+Inversion!F17</f>
        <v>1991785.6</v>
      </c>
      <c r="C10" s="10">
        <f>+B10</f>
        <v>1991785.6</v>
      </c>
      <c r="D10" s="10">
        <f>+B10</f>
        <v>1991785.6</v>
      </c>
      <c r="E10" s="10">
        <f>+B10</f>
        <v>1991785.6</v>
      </c>
      <c r="F10" s="10">
        <f>+B10</f>
        <v>1991785.6</v>
      </c>
    </row>
    <row r="11" spans="1:6" x14ac:dyDescent="0.25">
      <c r="A11" s="68" t="s">
        <v>366</v>
      </c>
      <c r="B11" s="70">
        <f>B9-B10</f>
        <v>14830980.799999977</v>
      </c>
      <c r="C11" s="70">
        <f>C9-C10</f>
        <v>144617946.40000001</v>
      </c>
      <c r="D11" s="70">
        <f>D9-D10</f>
        <v>228423102.40000001</v>
      </c>
      <c r="E11" s="70">
        <f>E9-E10</f>
        <v>382839634.39999998</v>
      </c>
      <c r="F11" s="70">
        <f>F9-F10</f>
        <v>500477746.39999998</v>
      </c>
    </row>
    <row r="12" spans="1:6" x14ac:dyDescent="0.25">
      <c r="A12" t="s">
        <v>367</v>
      </c>
      <c r="B12" s="10">
        <f>+B11*$B$20</f>
        <v>5190843.2799999919</v>
      </c>
      <c r="C12" s="10">
        <f>+C11*$B$20</f>
        <v>50616281.240000002</v>
      </c>
      <c r="D12" s="10">
        <f>+D11*$B$20</f>
        <v>79948085.840000004</v>
      </c>
      <c r="E12" s="10">
        <f>+E11*$B$20</f>
        <v>133993872.03999998</v>
      </c>
      <c r="F12" s="10">
        <f>+F11*$B$20</f>
        <v>175167211.23999998</v>
      </c>
    </row>
    <row r="13" spans="1:6" ht="20.100000000000001" customHeight="1" x14ac:dyDescent="0.25">
      <c r="A13" s="12" t="s">
        <v>368</v>
      </c>
      <c r="B13" s="13">
        <f>+B11-$B$12</f>
        <v>9640137.5199999847</v>
      </c>
      <c r="C13" s="13">
        <f>+C11-C12</f>
        <v>94001665.159999996</v>
      </c>
      <c r="D13" s="13">
        <f>+D11-D12</f>
        <v>148475016.56</v>
      </c>
      <c r="E13" s="13">
        <f>+E11-E12</f>
        <v>248845762.36000001</v>
      </c>
      <c r="F13" s="13">
        <f>+F11-F12</f>
        <v>325310535.15999997</v>
      </c>
    </row>
    <row r="15" spans="1:6" ht="20.100000000000001" customHeight="1" x14ac:dyDescent="0.25">
      <c r="A15" s="92" t="s">
        <v>369</v>
      </c>
      <c r="B15" s="92"/>
      <c r="C15" s="92"/>
      <c r="D15" s="92"/>
      <c r="E15" s="92"/>
      <c r="F15" s="92"/>
    </row>
    <row r="16" spans="1:6" ht="24" customHeight="1" x14ac:dyDescent="0.25">
      <c r="A16" s="7" t="s">
        <v>370</v>
      </c>
      <c r="B16" s="8" t="s">
        <v>172</v>
      </c>
      <c r="C16" s="8" t="s">
        <v>173</v>
      </c>
      <c r="D16" s="8" t="s">
        <v>174</v>
      </c>
      <c r="E16" s="8" t="s">
        <v>175</v>
      </c>
      <c r="F16" s="8" t="s">
        <v>176</v>
      </c>
    </row>
    <row r="17" spans="1:6" x14ac:dyDescent="0.25">
      <c r="A17" t="s">
        <v>371</v>
      </c>
      <c r="B17" s="11">
        <f>B7/B5</f>
        <v>0.75807247810671097</v>
      </c>
      <c r="C17" s="11">
        <f>C7/C5</f>
        <v>0.83121231455545186</v>
      </c>
      <c r="D17" s="11">
        <f>D7/D5</f>
        <v>0.77648369644153958</v>
      </c>
      <c r="E17" s="11">
        <f>E7/E5</f>
        <v>0.81599159202775762</v>
      </c>
      <c r="F17" s="11">
        <f>F7/F5</f>
        <v>0.78622126361655775</v>
      </c>
    </row>
    <row r="18" spans="1:6" x14ac:dyDescent="0.25">
      <c r="A18" t="s">
        <v>372</v>
      </c>
      <c r="B18" s="11">
        <f>B9/B5</f>
        <v>7.1864523901063598E-2</v>
      </c>
      <c r="C18" s="11">
        <f>C9/C5</f>
        <v>0.38025140574748417</v>
      </c>
      <c r="D18" s="11">
        <f>D9/D5</f>
        <v>0.41832768336964415</v>
      </c>
      <c r="E18" s="11">
        <f>E9/E5</f>
        <v>0.51753869119664331</v>
      </c>
      <c r="F18" s="11">
        <f>F9/F5</f>
        <v>0.52128802987861811</v>
      </c>
    </row>
    <row r="19" spans="1:6" x14ac:dyDescent="0.25">
      <c r="A19" t="s">
        <v>373</v>
      </c>
      <c r="B19" s="71">
        <f>B13/B5</f>
        <v>4.1181329915844271E-2</v>
      </c>
      <c r="C19" s="49">
        <f>C13/C5</f>
        <v>0.24380554300238613</v>
      </c>
      <c r="D19" s="49">
        <f>D13/D5</f>
        <v>0.26956248467683369</v>
      </c>
      <c r="E19" s="49">
        <f>E13/E5</f>
        <v>0.33465903111971812</v>
      </c>
      <c r="F19" s="49">
        <f>F13/F5</f>
        <v>0.33749407112771029</v>
      </c>
    </row>
    <row r="20" spans="1:6" x14ac:dyDescent="0.25">
      <c r="A20" t="s">
        <v>481</v>
      </c>
      <c r="B20" s="72">
        <v>0.35</v>
      </c>
    </row>
  </sheetData>
  <mergeCells count="2">
    <mergeCell ref="A3:F3"/>
    <mergeCell ref="A15:F15"/>
  </mergeCells>
  <pageMargins left="0.7" right="0.7" top="0.75" bottom="0.75" header="0.3" footer="0.3"/>
  <pageSetup orientation="portrait" useFirstPageNumber="1" horizontalDpi="4294967295" verticalDpi="4294967295"/>
  <ignoredErrors>
    <ignoredError sqref="D8:F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1"/>
  <sheetViews>
    <sheetView topLeftCell="A3" zoomScaleNormal="100" workbookViewId="0">
      <selection activeCell="A12" sqref="A12"/>
    </sheetView>
  </sheetViews>
  <sheetFormatPr baseColWidth="10" defaultColWidth="9.140625" defaultRowHeight="15" x14ac:dyDescent="0.25"/>
  <cols>
    <col min="1" max="1" width="44" customWidth="1"/>
    <col min="2" max="7" width="20" customWidth="1"/>
  </cols>
  <sheetData>
    <row r="1" spans="1:7" ht="18.75" customHeight="1" x14ac:dyDescent="0.3">
      <c r="A1" s="9" t="s">
        <v>374</v>
      </c>
    </row>
    <row r="3" spans="1:7" ht="20.100000000000001" customHeight="1" x14ac:dyDescent="0.25">
      <c r="A3" s="92" t="s">
        <v>375</v>
      </c>
      <c r="B3" s="92"/>
      <c r="C3" s="92"/>
      <c r="D3" s="92"/>
      <c r="E3" s="92"/>
      <c r="F3" s="92"/>
      <c r="G3" s="92"/>
    </row>
    <row r="4" spans="1:7" ht="24" customHeight="1" x14ac:dyDescent="0.25">
      <c r="A4" s="7" t="s">
        <v>376</v>
      </c>
      <c r="B4" s="8" t="s">
        <v>377</v>
      </c>
      <c r="C4" s="8" t="s">
        <v>172</v>
      </c>
      <c r="D4" s="8" t="s">
        <v>173</v>
      </c>
      <c r="E4" s="8" t="s">
        <v>174</v>
      </c>
      <c r="F4" s="8" t="s">
        <v>175</v>
      </c>
      <c r="G4" s="8" t="s">
        <v>176</v>
      </c>
    </row>
    <row r="5" spans="1:7" x14ac:dyDescent="0.25">
      <c r="A5" t="s">
        <v>378</v>
      </c>
      <c r="B5" t="s">
        <v>379</v>
      </c>
      <c r="C5" s="10">
        <f>'Est. Resultados'!B13</f>
        <v>9640137.5199999847</v>
      </c>
      <c r="D5" s="10">
        <f>'Est. Resultados'!C13</f>
        <v>94001665.159999996</v>
      </c>
      <c r="E5" s="10">
        <f>'Est. Resultados'!D13</f>
        <v>148475016.56</v>
      </c>
      <c r="F5" s="10">
        <f>'Est. Resultados'!E13</f>
        <v>248845762.36000001</v>
      </c>
      <c r="G5" s="10">
        <f>'Est. Resultados'!F13</f>
        <v>325310535.15999997</v>
      </c>
    </row>
    <row r="6" spans="1:7" x14ac:dyDescent="0.25">
      <c r="A6" t="s">
        <v>380</v>
      </c>
      <c r="B6" t="s">
        <v>379</v>
      </c>
      <c r="C6" s="10">
        <f>+'Est. Resultados'!B10</f>
        <v>1991785.6</v>
      </c>
      <c r="D6" s="10">
        <f>+'Est. Resultados'!C10</f>
        <v>1991785.6</v>
      </c>
      <c r="E6" s="10">
        <f>+'Est. Resultados'!D10</f>
        <v>1991785.6</v>
      </c>
      <c r="F6" s="10">
        <f>+'Est. Resultados'!E10</f>
        <v>1991785.6</v>
      </c>
      <c r="G6" s="10">
        <f>+'Est. Resultados'!F10</f>
        <v>1991785.6</v>
      </c>
    </row>
    <row r="7" spans="1:7" x14ac:dyDescent="0.25">
      <c r="A7" t="s">
        <v>381</v>
      </c>
      <c r="B7" s="10">
        <f>Inversion!B8</f>
        <v>223780628</v>
      </c>
      <c r="C7" t="s">
        <v>379</v>
      </c>
      <c r="D7" t="s">
        <v>379</v>
      </c>
      <c r="E7" t="s">
        <v>379</v>
      </c>
      <c r="F7" t="s">
        <v>379</v>
      </c>
      <c r="G7" t="s">
        <v>379</v>
      </c>
    </row>
    <row r="8" spans="1:7" ht="20.100000000000001" customHeight="1" x14ac:dyDescent="0.25">
      <c r="A8" s="12" t="s">
        <v>382</v>
      </c>
      <c r="B8" s="13">
        <f>-B7</f>
        <v>-223780628</v>
      </c>
      <c r="C8" s="13">
        <f>C5+C6</f>
        <v>11631923.119999984</v>
      </c>
      <c r="D8" s="13">
        <f>D5+D6</f>
        <v>95993450.75999999</v>
      </c>
      <c r="E8" s="13">
        <f>E5+E6</f>
        <v>150466802.16</v>
      </c>
      <c r="F8" s="13">
        <f>F5+F6</f>
        <v>250837547.96000001</v>
      </c>
      <c r="G8" s="13">
        <f>G5+G6</f>
        <v>327302320.75999999</v>
      </c>
    </row>
    <row r="9" spans="1:7" x14ac:dyDescent="0.25">
      <c r="A9" t="s">
        <v>383</v>
      </c>
      <c r="B9" s="10">
        <f>B8</f>
        <v>-223780628</v>
      </c>
      <c r="C9" s="48">
        <f>B9+C8</f>
        <v>-212148704.88000003</v>
      </c>
      <c r="D9" s="48">
        <f>C9+D8</f>
        <v>-116155254.12000003</v>
      </c>
      <c r="E9" s="47">
        <f>D9+E8</f>
        <v>34311548.039999962</v>
      </c>
      <c r="F9" s="47">
        <f>E9+F8</f>
        <v>285149096</v>
      </c>
      <c r="G9" s="47">
        <f>F9+G8</f>
        <v>612451416.75999999</v>
      </c>
    </row>
    <row r="11" spans="1:7" ht="20.100000000000001" customHeight="1" x14ac:dyDescent="0.25">
      <c r="A11" s="92" t="s">
        <v>384</v>
      </c>
      <c r="B11" s="92"/>
      <c r="C11" s="92"/>
      <c r="D11" s="92"/>
      <c r="E11" s="92"/>
      <c r="F11" s="92"/>
      <c r="G11" s="92"/>
    </row>
    <row r="12" spans="1:7" x14ac:dyDescent="0.25">
      <c r="A12" t="s">
        <v>385</v>
      </c>
      <c r="B12" s="11">
        <v>0.185</v>
      </c>
      <c r="C12" t="s">
        <v>386</v>
      </c>
    </row>
    <row r="13" spans="1:7" x14ac:dyDescent="0.25">
      <c r="A13" t="s">
        <v>387</v>
      </c>
      <c r="B13" s="10">
        <f>B7</f>
        <v>223780628</v>
      </c>
    </row>
    <row r="15" spans="1:7" ht="20.100000000000001" customHeight="1" x14ac:dyDescent="0.25">
      <c r="A15" s="92" t="s">
        <v>388</v>
      </c>
      <c r="B15" s="92"/>
      <c r="C15" s="92"/>
      <c r="D15" s="92"/>
      <c r="E15" s="92"/>
      <c r="F15" s="92"/>
      <c r="G15" s="92"/>
    </row>
    <row r="16" spans="1:7" ht="24" customHeight="1" x14ac:dyDescent="0.25">
      <c r="A16" s="7" t="s">
        <v>389</v>
      </c>
      <c r="B16" s="8" t="s">
        <v>172</v>
      </c>
      <c r="C16" s="8" t="s">
        <v>173</v>
      </c>
      <c r="D16" s="8" t="s">
        <v>174</v>
      </c>
      <c r="E16" s="8" t="s">
        <v>175</v>
      </c>
      <c r="F16" s="8" t="s">
        <v>176</v>
      </c>
      <c r="G16" s="8" t="s">
        <v>75</v>
      </c>
    </row>
    <row r="17" spans="1:6" x14ac:dyDescent="0.25">
      <c r="A17" t="s">
        <v>390</v>
      </c>
      <c r="B17" s="10">
        <f>Costos!B8+Gastos!B7</f>
        <v>217267233.60000002</v>
      </c>
      <c r="C17" s="10">
        <f>Costos!C8+Gastos!C7</f>
        <v>238950268</v>
      </c>
      <c r="D17" s="10">
        <f>Costos!D8+Gastos!D7</f>
        <v>320385112</v>
      </c>
      <c r="E17" s="10">
        <f>Costos!E8+Gastos!E7</f>
        <v>358748580</v>
      </c>
      <c r="F17" s="10">
        <f>Costos!F8+Gastos!F7</f>
        <v>461430468</v>
      </c>
    </row>
    <row r="18" spans="1:6" x14ac:dyDescent="0.25">
      <c r="A18" t="s">
        <v>391</v>
      </c>
      <c r="B18" s="11">
        <f>(Ingresos!F12-Costos!B8)/Ingresos!F12</f>
        <v>0.75807247810671097</v>
      </c>
      <c r="C18" s="11">
        <f>(Ingresos!F13-Costos!C8)/Ingresos!F13</f>
        <v>0.83121231455545186</v>
      </c>
      <c r="D18" s="11">
        <f>(Ingresos!F14-Costos!D8)/Ingresos!F14</f>
        <v>0.77648369644153958</v>
      </c>
      <c r="E18" s="11">
        <f>(Ingresos!F15-Costos!E8)/Ingresos!F15</f>
        <v>0.81599159202775762</v>
      </c>
      <c r="F18" s="11">
        <f>(Ingresos!F16-Costos!F8)/Ingresos!F16</f>
        <v>0.78622126361655775</v>
      </c>
    </row>
    <row r="19" spans="1:6" x14ac:dyDescent="0.25">
      <c r="A19" t="s">
        <v>392</v>
      </c>
      <c r="B19" s="48">
        <f>B17/B18</f>
        <v>286604829.84770244</v>
      </c>
      <c r="C19" s="48">
        <f>C17/C18</f>
        <v>287472001.81676221</v>
      </c>
      <c r="D19" s="48">
        <f>D17/D18</f>
        <v>412610224.1016227</v>
      </c>
      <c r="E19" s="48">
        <f>E17/E18</f>
        <v>439647397.72440749</v>
      </c>
      <c r="F19" s="48">
        <f>F17/F18</f>
        <v>586896449.32452619</v>
      </c>
    </row>
    <row r="20" spans="1:6" x14ac:dyDescent="0.25">
      <c r="A20" t="s">
        <v>393</v>
      </c>
      <c r="B20" s="10">
        <f>Ingresos!F12</f>
        <v>234090000</v>
      </c>
      <c r="C20" s="10">
        <f>Ingresos!F13</f>
        <v>385560000</v>
      </c>
      <c r="D20" s="10">
        <f>Ingresos!F14</f>
        <v>550800000</v>
      </c>
      <c r="E20" s="10">
        <f>Ingresos!F15</f>
        <v>743580000</v>
      </c>
      <c r="F20" s="10">
        <f>Ingresos!F16</f>
        <v>963900000</v>
      </c>
    </row>
    <row r="21" spans="1:6" x14ac:dyDescent="0.25">
      <c r="A21" t="s">
        <v>394</v>
      </c>
      <c r="B21" s="4" t="str">
        <f>IF(B20&gt;=B19,"SÍ ✅","NO ❌")</f>
        <v>NO ❌</v>
      </c>
      <c r="C21" s="4" t="str">
        <f>IF(C20&gt;=C19,"SÍ ✅","NO ❌")</f>
        <v>SÍ ✅</v>
      </c>
      <c r="D21" s="4" t="str">
        <f>IF(D20&gt;=D19,"SÍ ✅","NO ❌")</f>
        <v>SÍ ✅</v>
      </c>
      <c r="E21" s="4" t="str">
        <f>IF(E20&gt;=E19,"SÍ ✅","NO ❌")</f>
        <v>SÍ ✅</v>
      </c>
      <c r="F21" s="4" t="str">
        <f>IF(F20&gt;=F19,"SÍ ✅","NO ❌")</f>
        <v>SÍ ✅</v>
      </c>
    </row>
  </sheetData>
  <mergeCells count="3">
    <mergeCell ref="A3:G3"/>
    <mergeCell ref="A11:G11"/>
    <mergeCell ref="A15:G15"/>
  </mergeCells>
  <pageMargins left="0.7" right="0.7" top="0.75" bottom="0.75" header="0.3" footer="0.3"/>
  <pageSetup orientation="portrait" useFirstPageNumber="1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6"/>
  <sheetViews>
    <sheetView tabSelected="1" topLeftCell="A19" zoomScale="90" zoomScaleNormal="90" workbookViewId="0">
      <selection activeCell="B8" sqref="B8"/>
    </sheetView>
  </sheetViews>
  <sheetFormatPr baseColWidth="10" defaultColWidth="9.140625" defaultRowHeight="15" x14ac:dyDescent="0.25"/>
  <cols>
    <col min="1" max="1" width="46" customWidth="1"/>
    <col min="2" max="3" width="24" customWidth="1"/>
    <col min="4" max="4" width="80" customWidth="1"/>
  </cols>
  <sheetData>
    <row r="1" spans="1:4" ht="18.75" customHeight="1" x14ac:dyDescent="0.3">
      <c r="A1" s="9" t="s">
        <v>395</v>
      </c>
    </row>
    <row r="3" spans="1:4" ht="20.100000000000001" customHeight="1" x14ac:dyDescent="0.25">
      <c r="A3" s="92" t="s">
        <v>396</v>
      </c>
      <c r="B3" s="92"/>
      <c r="C3" s="92"/>
      <c r="D3" s="92"/>
    </row>
    <row r="4" spans="1:4" ht="24" customHeight="1" x14ac:dyDescent="0.25">
      <c r="A4" s="7" t="s">
        <v>397</v>
      </c>
      <c r="B4" s="8" t="s">
        <v>398</v>
      </c>
      <c r="C4" s="8" t="s">
        <v>399</v>
      </c>
      <c r="D4" s="8" t="s">
        <v>400</v>
      </c>
    </row>
    <row r="5" spans="1:4" x14ac:dyDescent="0.25">
      <c r="A5" t="s">
        <v>401</v>
      </c>
      <c r="B5" s="11">
        <f>'Flujo de Caja'!B12</f>
        <v>0.185</v>
      </c>
      <c r="C5" t="s">
        <v>402</v>
      </c>
      <c r="D5" t="s">
        <v>403</v>
      </c>
    </row>
    <row r="6" spans="1:4" x14ac:dyDescent="0.25">
      <c r="A6" t="s">
        <v>404</v>
      </c>
      <c r="B6" s="47">
        <f>NPV(B5,B15:B19)+B14</f>
        <v>212103509.24042195</v>
      </c>
      <c r="C6" t="s">
        <v>405</v>
      </c>
      <c r="D6" t="str">
        <f>IF(B6&gt;0, "VIABLE: El proyecto genera un VPN positivo a la TIO del " &amp; TEXT(B5,"0,0%") &amp; " E.A. (+$212.103.509 COP), creando valor economico neto.", "REQUIERE AJUSTE: El VPN es negativo.")</f>
        <v>VIABLE: El proyecto genera un VPN positivo a la TIO del 18,5% E.A. (+$212.103.509 COP), creando valor economico neto.</v>
      </c>
    </row>
    <row r="7" spans="1:4" x14ac:dyDescent="0.25">
      <c r="A7" t="s">
        <v>406</v>
      </c>
      <c r="B7" s="50">
        <f>IRR(B14:B19)</f>
        <v>0.42534482330501366</v>
      </c>
      <c r="C7" t="s">
        <v>407</v>
      </c>
      <c r="D7" t="str">
        <f>IF(B7&gt;B5, "ALTAMENTE RENTABLE: La TIR (" &amp; TEXT(B7,"0,0%") &amp; ") supera ampliamente la TIO (" &amp; TEXT(B5,"0,0%") &amp; " E.A.).", "TIR no supera la TIO.")</f>
        <v>ALTAMENTE RENTABLE: La TIR (42,5%) supera ampliamente la TIO (18,5% E.A.).</v>
      </c>
    </row>
    <row r="8" spans="1:4" x14ac:dyDescent="0.25">
      <c r="A8" t="s">
        <v>408</v>
      </c>
      <c r="B8" s="4" t="str">
        <f>IF('Flujo de Caja'!C9&gt;=0,"Año 1",IF('Flujo de Caja'!D9&gt;=0,"Año 2",IF('Flujo de Caja'!E9&gt;=0,"Año 3",IF('Flujo de Caja'!F9&gt;=0,"Año 4",IF('Flujo de Caja'!G9&gt;=0,"Año 5","Más de 5 años")))))</f>
        <v>Año 3</v>
      </c>
      <c r="C8" t="s">
        <v>409</v>
      </c>
      <c r="D8" t="str">
        <f>IF(ISNUMBER(SEARCH("Mas", B8)), "No se recupera en 5 anos.", "El capital invertido de $223.780.628 COP se recupera en el transcurso del " &amp; B8 &amp; ".")</f>
        <v>El capital invertido de $223.780.628 COP se recupera en el transcurso del Año 3.</v>
      </c>
    </row>
    <row r="9" spans="1:4" x14ac:dyDescent="0.25">
      <c r="A9" t="s">
        <v>410</v>
      </c>
      <c r="B9" s="51">
        <f>NPV(B5,Ingresos!F12:F16)/(ABS(B14)+NPV(B5,Costos!B8:F8)+NPV(B5,Gastos!B7:F7))</f>
        <v>1.3859009261419777</v>
      </c>
      <c r="C9" t="s">
        <v>411</v>
      </c>
      <c r="D9" t="str">
        <f>IF(B9&gt;=1, "Por cada $1 COP invertido y gastado, el proyecto genera " &amp; TEXT(B9,"$ 0,00") &amp; " COP a valor presente (B/C = " &amp; TEXT(B9,"0,00") &amp; " &gt; 1.0).", "Relacion B/C menor a 1.0.")</f>
        <v>Por cada $1 COP invertido y gastado, el proyecto genera $ 1,39 COP a valor presente (B/C = 1,39 &gt; 1.0).</v>
      </c>
    </row>
    <row r="12" spans="1:4" ht="20.100000000000001" customHeight="1" x14ac:dyDescent="0.25">
      <c r="A12" s="92" t="s">
        <v>412</v>
      </c>
      <c r="B12" s="92"/>
      <c r="C12" s="92"/>
      <c r="D12" s="92"/>
    </row>
    <row r="13" spans="1:4" ht="24" customHeight="1" x14ac:dyDescent="0.25">
      <c r="A13" s="7" t="s">
        <v>351</v>
      </c>
      <c r="B13" s="8" t="s">
        <v>413</v>
      </c>
      <c r="C13" s="8" t="s">
        <v>414</v>
      </c>
      <c r="D13" s="8" t="s">
        <v>415</v>
      </c>
    </row>
    <row r="14" spans="1:4" x14ac:dyDescent="0.25">
      <c r="A14" t="s">
        <v>416</v>
      </c>
      <c r="B14" s="10">
        <f>-'Flujo de Caja'!B7</f>
        <v>-223780628</v>
      </c>
      <c r="C14">
        <f>-'Flujo de Caja'!B7</f>
        <v>-223780628</v>
      </c>
      <c r="D14" t="s">
        <v>417</v>
      </c>
    </row>
    <row r="15" spans="1:4" x14ac:dyDescent="0.25">
      <c r="A15" t="s">
        <v>172</v>
      </c>
      <c r="B15" s="10">
        <f>'Flujo de Caja'!C8</f>
        <v>11631923.119999984</v>
      </c>
      <c r="C15" t="s">
        <v>418</v>
      </c>
      <c r="D15" t="s">
        <v>419</v>
      </c>
    </row>
    <row r="16" spans="1:4" x14ac:dyDescent="0.25">
      <c r="A16" t="s">
        <v>173</v>
      </c>
      <c r="B16" s="10">
        <f>'Flujo de Caja'!D8</f>
        <v>95993450.75999999</v>
      </c>
      <c r="C16" t="s">
        <v>420</v>
      </c>
      <c r="D16" t="s">
        <v>421</v>
      </c>
    </row>
    <row r="17" spans="1:4" x14ac:dyDescent="0.25">
      <c r="A17" t="s">
        <v>174</v>
      </c>
      <c r="B17" s="10">
        <f>'Flujo de Caja'!E8</f>
        <v>150466802.16</v>
      </c>
      <c r="C17" t="s">
        <v>422</v>
      </c>
      <c r="D17" t="s">
        <v>423</v>
      </c>
    </row>
    <row r="18" spans="1:4" x14ac:dyDescent="0.25">
      <c r="A18" t="s">
        <v>175</v>
      </c>
      <c r="B18" s="10">
        <f>'Flujo de Caja'!F8</f>
        <v>250837547.96000001</v>
      </c>
      <c r="C18" t="s">
        <v>424</v>
      </c>
      <c r="D18" t="s">
        <v>425</v>
      </c>
    </row>
    <row r="19" spans="1:4" x14ac:dyDescent="0.25">
      <c r="A19" t="s">
        <v>176</v>
      </c>
      <c r="B19" s="10">
        <f>'Flujo de Caja'!G8</f>
        <v>327302320.75999999</v>
      </c>
      <c r="C19" t="s">
        <v>426</v>
      </c>
      <c r="D19" t="s">
        <v>427</v>
      </c>
    </row>
    <row r="21" spans="1:4" ht="20.100000000000001" customHeight="1" x14ac:dyDescent="0.25">
      <c r="A21" s="92" t="s">
        <v>428</v>
      </c>
      <c r="B21" s="92"/>
      <c r="C21" s="92"/>
      <c r="D21" s="92"/>
    </row>
    <row r="22" spans="1:4" x14ac:dyDescent="0.25">
      <c r="A22" s="4" t="s">
        <v>429</v>
      </c>
      <c r="B22" s="109" t="s">
        <v>576</v>
      </c>
      <c r="C22" s="109"/>
      <c r="D22" s="109"/>
    </row>
    <row r="23" spans="1:4" x14ac:dyDescent="0.25">
      <c r="A23" s="4" t="s">
        <v>430</v>
      </c>
      <c r="B23" s="109" t="s">
        <v>592</v>
      </c>
      <c r="C23" s="109"/>
      <c r="D23" s="109"/>
    </row>
    <row r="24" spans="1:4" x14ac:dyDescent="0.25">
      <c r="A24" s="4" t="s">
        <v>431</v>
      </c>
      <c r="B24" s="109" t="str">
        <f>"3. Alta Rentabilidad: La TIR del " &amp; TEXT(B7,"0,0%") &amp; " anual duplica holgadamente la TIO (" &amp; TEXT(B5,"0,0%") &amp; "), reflejando la alta rentabilidad del modelo SaaS con costos reales de nomina completa."</f>
        <v>3. Alta Rentabilidad: La TIR del 42,5% anual duplica holgadamente la TIO (18,5%), reflejando la alta rentabilidad del modelo SaaS con costos reales de nomina completa.</v>
      </c>
      <c r="C24" s="109"/>
      <c r="D24" s="109"/>
    </row>
    <row r="25" spans="1:4" x14ac:dyDescent="0.25">
      <c r="A25" s="4" t="s">
        <v>432</v>
      </c>
      <c r="B25" s="109" t="str">
        <f>"4. Recuperacion Segura: El Payback en el " &amp; B8 &amp; " garantiza la recuperacion total de la inversion inicial de $223.780.628 COP financiada con recursos propios y credito."</f>
        <v>4. Recuperacion Segura: El Payback en el Año 3 garantiza la recuperacion total de la inversion inicial de $223.780.628 COP financiada con recursos propios y credito.</v>
      </c>
      <c r="C25" s="109"/>
      <c r="D25" s="109"/>
    </row>
    <row r="26" spans="1:4" x14ac:dyDescent="0.25">
      <c r="A26" s="4" t="s">
        <v>433</v>
      </c>
      <c r="B26" s="109" t="s">
        <v>577</v>
      </c>
      <c r="C26" s="109"/>
      <c r="D26" s="109"/>
    </row>
  </sheetData>
  <mergeCells count="8">
    <mergeCell ref="B24:D24"/>
    <mergeCell ref="B25:D25"/>
    <mergeCell ref="B26:D26"/>
    <mergeCell ref="A3:D3"/>
    <mergeCell ref="A12:D12"/>
    <mergeCell ref="A21:D21"/>
    <mergeCell ref="B22:D22"/>
    <mergeCell ref="B23:D23"/>
  </mergeCells>
  <pageMargins left="0.7" right="0.7" top="0.75" bottom="0.75" header="0.3" footer="0.3"/>
  <pageSetup orientation="portrait" useFirstPageNumber="1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7"/>
  <sheetViews>
    <sheetView topLeftCell="A8" zoomScale="80" zoomScaleNormal="80" workbookViewId="0">
      <selection activeCell="C22" sqref="C22"/>
    </sheetView>
  </sheetViews>
  <sheetFormatPr baseColWidth="10" defaultColWidth="9.140625" defaultRowHeight="15" x14ac:dyDescent="0.25"/>
  <cols>
    <col min="1" max="1" width="65.28515625" customWidth="1"/>
    <col min="2" max="2" width="22" customWidth="1"/>
    <col min="3" max="4" width="20" customWidth="1"/>
    <col min="5" max="5" width="25.7109375" customWidth="1"/>
    <col min="6" max="6" width="20" customWidth="1"/>
    <col min="7" max="7" width="40.7109375" bestFit="1" customWidth="1"/>
  </cols>
  <sheetData>
    <row r="1" spans="1:7" ht="24" customHeight="1" x14ac:dyDescent="0.25">
      <c r="A1" s="111" t="s">
        <v>482</v>
      </c>
      <c r="B1" s="103"/>
      <c r="C1" s="103"/>
      <c r="D1" s="103"/>
      <c r="E1" s="103"/>
      <c r="F1" s="103"/>
      <c r="G1" s="103"/>
    </row>
    <row r="2" spans="1:7" x14ac:dyDescent="0.25">
      <c r="A2" s="106" t="s">
        <v>434</v>
      </c>
      <c r="B2" s="106"/>
      <c r="C2" s="106"/>
      <c r="D2" s="106"/>
      <c r="E2" s="106"/>
      <c r="F2" s="106"/>
      <c r="G2" s="106"/>
    </row>
    <row r="4" spans="1:7" ht="24" customHeight="1" x14ac:dyDescent="0.25">
      <c r="A4" s="103" t="s">
        <v>435</v>
      </c>
      <c r="B4" s="103"/>
      <c r="C4" s="103"/>
      <c r="D4" s="103"/>
      <c r="E4" s="103"/>
      <c r="F4" s="103"/>
      <c r="G4" s="103"/>
    </row>
    <row r="5" spans="1:7" ht="21.95" customHeight="1" x14ac:dyDescent="0.25">
      <c r="A5" s="52" t="s">
        <v>436</v>
      </c>
      <c r="B5" s="52" t="s">
        <v>437</v>
      </c>
      <c r="C5" s="52" t="s">
        <v>262</v>
      </c>
      <c r="D5" s="52" t="s">
        <v>438</v>
      </c>
      <c r="E5" s="52" t="s">
        <v>439</v>
      </c>
    </row>
    <row r="6" spans="1:7" ht="24" customHeight="1" x14ac:dyDescent="0.25">
      <c r="A6" s="53" t="s">
        <v>600</v>
      </c>
      <c r="B6" s="38">
        <f>Ingresos!D8</f>
        <v>22950</v>
      </c>
      <c r="C6" s="45" t="s">
        <v>440</v>
      </c>
      <c r="D6" s="54" t="s">
        <v>441</v>
      </c>
      <c r="E6" s="54" t="s">
        <v>601</v>
      </c>
    </row>
    <row r="7" spans="1:7" ht="24" customHeight="1" x14ac:dyDescent="0.25">
      <c r="A7" s="53" t="s">
        <v>442</v>
      </c>
      <c r="B7" s="38">
        <f>Costos!C25/12</f>
        <v>283.41666666666669</v>
      </c>
      <c r="C7" s="45" t="s">
        <v>440</v>
      </c>
      <c r="D7" s="54" t="s">
        <v>580</v>
      </c>
      <c r="E7" s="54" t="s">
        <v>581</v>
      </c>
    </row>
    <row r="8" spans="1:7" ht="24" customHeight="1" x14ac:dyDescent="0.25">
      <c r="A8" s="55" t="s">
        <v>443</v>
      </c>
      <c r="B8" s="41">
        <f>B6-B7</f>
        <v>22666.583333333332</v>
      </c>
      <c r="C8" s="56" t="s">
        <v>440</v>
      </c>
      <c r="D8" s="54" t="s">
        <v>444</v>
      </c>
      <c r="E8" s="57" t="s">
        <v>445</v>
      </c>
    </row>
    <row r="9" spans="1:7" ht="24" customHeight="1" x14ac:dyDescent="0.25">
      <c r="A9" s="53" t="s">
        <v>446</v>
      </c>
      <c r="B9" s="58">
        <f>B8/B6</f>
        <v>0.98765068990559179</v>
      </c>
      <c r="C9" s="45" t="s">
        <v>447</v>
      </c>
      <c r="E9" s="54" t="s">
        <v>595</v>
      </c>
    </row>
    <row r="10" spans="1:7" ht="24" customHeight="1" x14ac:dyDescent="0.25">
      <c r="A10" s="53" t="s">
        <v>448</v>
      </c>
      <c r="B10" s="38">
        <f>Costos!B8+Gastos!B7</f>
        <v>217267233.60000002</v>
      </c>
      <c r="C10" s="45" t="s">
        <v>449</v>
      </c>
      <c r="D10" s="54" t="s">
        <v>450</v>
      </c>
      <c r="E10" s="54" t="s">
        <v>596</v>
      </c>
    </row>
    <row r="11" spans="1:7" ht="24" customHeight="1" x14ac:dyDescent="0.25">
      <c r="A11" s="53" t="s">
        <v>451</v>
      </c>
      <c r="B11" s="38">
        <f>B10/12</f>
        <v>18105602.800000001</v>
      </c>
      <c r="C11" s="45" t="s">
        <v>276</v>
      </c>
      <c r="D11" s="54" t="s">
        <v>452</v>
      </c>
      <c r="E11" s="54" t="s">
        <v>453</v>
      </c>
    </row>
    <row r="13" spans="1:7" ht="24" customHeight="1" x14ac:dyDescent="0.25">
      <c r="A13" s="103" t="s">
        <v>454</v>
      </c>
      <c r="B13" s="103"/>
      <c r="C13" s="103"/>
      <c r="D13" s="103"/>
      <c r="E13" s="103"/>
      <c r="F13" s="103"/>
      <c r="G13" s="103"/>
    </row>
    <row r="14" spans="1:7" ht="21.95" customHeight="1" x14ac:dyDescent="0.25">
      <c r="A14" s="52" t="s">
        <v>455</v>
      </c>
      <c r="B14" s="52" t="s">
        <v>456</v>
      </c>
      <c r="C14" s="52" t="s">
        <v>173</v>
      </c>
      <c r="D14" s="52" t="s">
        <v>174</v>
      </c>
      <c r="E14" s="52" t="s">
        <v>175</v>
      </c>
      <c r="F14" s="52" t="s">
        <v>176</v>
      </c>
      <c r="G14" s="52" t="s">
        <v>457</v>
      </c>
    </row>
    <row r="15" spans="1:7" ht="26.1" customHeight="1" x14ac:dyDescent="0.25">
      <c r="A15" s="53" t="s">
        <v>458</v>
      </c>
      <c r="B15" s="38">
        <f>Costos!B8+Gastos!B7</f>
        <v>217267233.60000002</v>
      </c>
      <c r="C15" s="38">
        <f>Costos!C8+Gastos!C7</f>
        <v>238950268</v>
      </c>
      <c r="D15" s="38">
        <f>Costos!D8+Gastos!D7</f>
        <v>320385112</v>
      </c>
      <c r="E15" s="38">
        <f>Costos!E8+Gastos!E7</f>
        <v>358748580</v>
      </c>
      <c r="F15" s="38">
        <f>Costos!F8+Gastos!F7</f>
        <v>461430468</v>
      </c>
      <c r="G15" s="54" t="s">
        <v>459</v>
      </c>
    </row>
    <row r="16" spans="1:7" ht="26.1" customHeight="1" x14ac:dyDescent="0.25">
      <c r="A16" s="55" t="s">
        <v>460</v>
      </c>
      <c r="B16" s="41">
        <f>B15/$B$9</f>
        <v>219983882.784275</v>
      </c>
      <c r="C16" s="41">
        <f>C15/$B$9</f>
        <v>241938035.82807291</v>
      </c>
      <c r="D16" s="41">
        <f>D15/$B$9</f>
        <v>324391118.51440632</v>
      </c>
      <c r="E16" s="41">
        <f>E15/$B$9</f>
        <v>363234272.67012012</v>
      </c>
      <c r="F16" s="41">
        <f>F15/$B$9</f>
        <v>467200066.49730331</v>
      </c>
      <c r="G16" s="57" t="s">
        <v>461</v>
      </c>
    </row>
    <row r="17" spans="1:7" ht="26.1" customHeight="1" x14ac:dyDescent="0.25">
      <c r="A17" s="53" t="s">
        <v>462</v>
      </c>
      <c r="B17" s="59">
        <f>Ingresos!F12</f>
        <v>234090000</v>
      </c>
      <c r="C17" s="59">
        <f>Ingresos!F13</f>
        <v>385560000</v>
      </c>
      <c r="D17" s="59">
        <f>Ingresos!F14</f>
        <v>550800000</v>
      </c>
      <c r="E17" s="59">
        <f>Ingresos!F15</f>
        <v>743580000</v>
      </c>
      <c r="F17" s="59">
        <f>Ingresos!F16</f>
        <v>963900000</v>
      </c>
      <c r="G17" s="54" t="s">
        <v>463</v>
      </c>
    </row>
    <row r="18" spans="1:7" ht="26.1" customHeight="1" x14ac:dyDescent="0.25">
      <c r="A18" s="55" t="s">
        <v>464</v>
      </c>
      <c r="B18" s="60">
        <f>ROUNDUP(B15/($B$8*12),0)</f>
        <v>799</v>
      </c>
      <c r="C18" s="60">
        <f>ROUNDUP(C15/($B$8*12),0)</f>
        <v>879</v>
      </c>
      <c r="D18" s="60">
        <f>ROUNDUP(D15/($B$8*12),0)</f>
        <v>1178</v>
      </c>
      <c r="E18" s="60">
        <f>ROUNDUP(E15/($B$8*12),0)</f>
        <v>1319</v>
      </c>
      <c r="F18" s="60">
        <f>ROUNDUP(F15/($B$8*12),0)</f>
        <v>1697</v>
      </c>
      <c r="G18" s="57" t="s">
        <v>465</v>
      </c>
    </row>
    <row r="19" spans="1:7" ht="26.1" customHeight="1" x14ac:dyDescent="0.25">
      <c r="A19" s="53" t="s">
        <v>466</v>
      </c>
      <c r="B19" s="61">
        <f>Ingresos!B12</f>
        <v>850</v>
      </c>
      <c r="C19" s="61">
        <f>Ingresos!B13</f>
        <v>1400</v>
      </c>
      <c r="D19" s="61">
        <f>Ingresos!B14</f>
        <v>2000</v>
      </c>
      <c r="E19" s="61">
        <f>Ingresos!B15</f>
        <v>2700</v>
      </c>
      <c r="F19" s="61">
        <f>Ingresos!B16</f>
        <v>3500</v>
      </c>
      <c r="G19" s="54" t="s">
        <v>467</v>
      </c>
    </row>
    <row r="20" spans="1:7" ht="26.1" customHeight="1" x14ac:dyDescent="0.25">
      <c r="A20" s="53" t="s">
        <v>593</v>
      </c>
      <c r="B20" s="62">
        <f>B18 / 5000</f>
        <v>0.1598</v>
      </c>
      <c r="C20" s="62">
        <f>C18 / 5000</f>
        <v>0.17580000000000001</v>
      </c>
      <c r="D20" s="62">
        <f>D18 / 5000</f>
        <v>0.2356</v>
      </c>
      <c r="E20" s="62">
        <f>E18 / 5000</f>
        <v>0.26379999999999998</v>
      </c>
      <c r="F20" s="62">
        <f>F18 / 5000</f>
        <v>0.33939999999999998</v>
      </c>
      <c r="G20" s="54" t="s">
        <v>594</v>
      </c>
    </row>
    <row r="21" spans="1:7" ht="26.1" customHeight="1" x14ac:dyDescent="0.25">
      <c r="A21" s="55" t="s">
        <v>468</v>
      </c>
      <c r="B21" s="63">
        <f>(B17-B15)/B17</f>
        <v>7.1864523901063598E-2</v>
      </c>
      <c r="C21" s="63">
        <f>(C17-C15)/C17</f>
        <v>0.38025140574748417</v>
      </c>
      <c r="D21" s="63">
        <f>(D17-D15)/D17</f>
        <v>0.41832768336964415</v>
      </c>
      <c r="E21" s="63">
        <f>(E17-E15)/E17</f>
        <v>0.51753869119664331</v>
      </c>
      <c r="F21" s="63">
        <f>(F17-F15)/F17</f>
        <v>0.52128802987861811</v>
      </c>
      <c r="G21" s="64" t="s">
        <v>469</v>
      </c>
    </row>
    <row r="22" spans="1:7" ht="26.1" customHeight="1" x14ac:dyDescent="0.25">
      <c r="A22" s="53" t="s">
        <v>470</v>
      </c>
      <c r="B22" s="65" t="str">
        <f>IF(B17&gt;=B15,"SÍ ✅ (Supera)","NO ❌")</f>
        <v>SÍ ✅ (Supera)</v>
      </c>
      <c r="C22" s="65" t="str">
        <f>IF(C17&gt;=C15,"SÍ ✅ (Supera)","NO ❌")</f>
        <v>SÍ ✅ (Supera)</v>
      </c>
      <c r="D22" s="65" t="str">
        <f>IF(D17&gt;=D15,"SÍ ✅ (Supera)","NO ❌")</f>
        <v>SÍ ✅ (Supera)</v>
      </c>
      <c r="E22" s="65" t="str">
        <f>IF(E17&gt;=E15,"SÍ ✅ (Supera)","NO ❌")</f>
        <v>SÍ ✅ (Supera)</v>
      </c>
      <c r="F22" s="65" t="str">
        <f>IF(F17&gt;=F15,"SÍ ✅ (Supera)","NO ❌")</f>
        <v>SÍ ✅ (Supera)</v>
      </c>
      <c r="G22" s="54" t="s">
        <v>471</v>
      </c>
    </row>
    <row r="24" spans="1:7" ht="24" customHeight="1" x14ac:dyDescent="0.25">
      <c r="A24" s="103" t="s">
        <v>472</v>
      </c>
      <c r="B24" s="103"/>
      <c r="C24" s="103"/>
      <c r="D24" s="103"/>
      <c r="E24" s="103"/>
      <c r="F24" s="103"/>
      <c r="G24" s="103"/>
    </row>
    <row r="25" spans="1:7" ht="42" customHeight="1" x14ac:dyDescent="0.25">
      <c r="A25" s="53" t="s">
        <v>473</v>
      </c>
      <c r="B25" s="110" t="s">
        <v>597</v>
      </c>
      <c r="C25" s="110"/>
      <c r="D25" s="110"/>
      <c r="E25" s="110"/>
      <c r="F25" s="110"/>
      <c r="G25" s="110"/>
    </row>
    <row r="26" spans="1:7" ht="42" customHeight="1" x14ac:dyDescent="0.25">
      <c r="A26" s="53" t="s">
        <v>474</v>
      </c>
      <c r="B26" s="110" t="s">
        <v>598</v>
      </c>
      <c r="C26" s="110"/>
      <c r="D26" s="110"/>
      <c r="E26" s="110"/>
      <c r="F26" s="110"/>
      <c r="G26" s="110"/>
    </row>
    <row r="27" spans="1:7" ht="42" customHeight="1" x14ac:dyDescent="0.25">
      <c r="A27" s="53" t="s">
        <v>475</v>
      </c>
      <c r="B27" s="110" t="s">
        <v>599</v>
      </c>
      <c r="C27" s="110"/>
      <c r="D27" s="110"/>
      <c r="E27" s="110"/>
      <c r="F27" s="110"/>
      <c r="G27" s="110"/>
    </row>
  </sheetData>
  <mergeCells count="8">
    <mergeCell ref="B25:G25"/>
    <mergeCell ref="B26:G26"/>
    <mergeCell ref="B27:G27"/>
    <mergeCell ref="A1:G1"/>
    <mergeCell ref="A2:G2"/>
    <mergeCell ref="A4:G4"/>
    <mergeCell ref="A13:G13"/>
    <mergeCell ref="A24:G24"/>
  </mergeCell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"/>
  <sheetViews>
    <sheetView topLeftCell="B1" zoomScale="80" zoomScaleNormal="80" workbookViewId="0">
      <selection activeCell="F28" sqref="F28"/>
    </sheetView>
  </sheetViews>
  <sheetFormatPr baseColWidth="10" defaultColWidth="9.140625" defaultRowHeight="15" x14ac:dyDescent="0.25"/>
  <cols>
    <col min="1" max="1" width="32.7109375" customWidth="1"/>
    <col min="2" max="2" width="18.7109375" customWidth="1"/>
    <col min="3" max="3" width="20.7109375" customWidth="1"/>
    <col min="4" max="4" width="42.7109375" customWidth="1"/>
    <col min="5" max="5" width="52.7109375" customWidth="1"/>
    <col min="6" max="6" width="45.7109375" customWidth="1"/>
    <col min="7" max="7" width="32.7109375" customWidth="1"/>
    <col min="8" max="8" width="22.7109375" customWidth="1"/>
    <col min="9" max="9" width="10" bestFit="1" customWidth="1"/>
  </cols>
  <sheetData>
    <row r="1" spans="1:8" ht="27.95" customHeight="1" x14ac:dyDescent="0.25">
      <c r="A1" s="89" t="s">
        <v>103</v>
      </c>
      <c r="B1" s="89"/>
      <c r="C1" s="89"/>
      <c r="D1" s="89"/>
      <c r="E1" s="89"/>
      <c r="F1" s="89"/>
      <c r="G1" s="89"/>
      <c r="H1" s="89"/>
    </row>
    <row r="2" spans="1:8" ht="15.95" customHeight="1" x14ac:dyDescent="0.25">
      <c r="A2" s="90" t="s">
        <v>104</v>
      </c>
      <c r="B2" s="90"/>
      <c r="C2" s="90"/>
      <c r="D2" s="90"/>
      <c r="E2" s="90"/>
      <c r="F2" s="90"/>
      <c r="G2" s="90"/>
      <c r="H2" s="90"/>
    </row>
    <row r="4" spans="1:8" ht="21.95" customHeight="1" x14ac:dyDescent="0.25">
      <c r="A4" s="88" t="s">
        <v>105</v>
      </c>
      <c r="B4" s="88"/>
      <c r="C4" s="88"/>
      <c r="D4" s="88"/>
      <c r="E4" s="88"/>
      <c r="F4" s="88"/>
      <c r="G4" s="88"/>
      <c r="H4" s="88"/>
    </row>
    <row r="5" spans="1:8" ht="26.1" customHeight="1" x14ac:dyDescent="0.25">
      <c r="A5" s="16" t="s">
        <v>106</v>
      </c>
      <c r="B5" s="17" t="s">
        <v>107</v>
      </c>
      <c r="C5" s="17" t="s">
        <v>108</v>
      </c>
      <c r="D5" s="17" t="s">
        <v>109</v>
      </c>
      <c r="E5" s="17" t="s">
        <v>110</v>
      </c>
      <c r="F5" s="17" t="s">
        <v>111</v>
      </c>
      <c r="G5" s="17" t="s">
        <v>112</v>
      </c>
      <c r="H5" s="17" t="s">
        <v>113</v>
      </c>
    </row>
    <row r="6" spans="1:8" ht="90" customHeight="1" x14ac:dyDescent="0.25">
      <c r="A6" s="18" t="s">
        <v>114</v>
      </c>
      <c r="B6" s="19" t="s">
        <v>603</v>
      </c>
      <c r="C6" s="19" t="s">
        <v>115</v>
      </c>
      <c r="D6" s="19" t="s">
        <v>616</v>
      </c>
      <c r="E6" s="19" t="s">
        <v>604</v>
      </c>
      <c r="F6" s="20">
        <v>4500000</v>
      </c>
      <c r="G6" s="19" t="s">
        <v>605</v>
      </c>
      <c r="H6" s="19" t="s">
        <v>116</v>
      </c>
    </row>
    <row r="7" spans="1:8" ht="90" customHeight="1" x14ac:dyDescent="0.25">
      <c r="A7" s="18" t="s">
        <v>569</v>
      </c>
      <c r="B7" s="19" t="s">
        <v>606</v>
      </c>
      <c r="C7" s="19" t="s">
        <v>118</v>
      </c>
      <c r="D7" s="19" t="s">
        <v>617</v>
      </c>
      <c r="E7" s="19" t="s">
        <v>607</v>
      </c>
      <c r="F7" s="20">
        <v>3000000</v>
      </c>
      <c r="G7" s="19" t="s">
        <v>608</v>
      </c>
      <c r="H7" s="19" t="s">
        <v>116</v>
      </c>
    </row>
    <row r="8" spans="1:8" ht="90" customHeight="1" x14ac:dyDescent="0.25">
      <c r="A8" s="21" t="s">
        <v>609</v>
      </c>
      <c r="B8" s="22" t="s">
        <v>120</v>
      </c>
      <c r="C8" s="22" t="s">
        <v>121</v>
      </c>
      <c r="D8" s="22" t="s">
        <v>618</v>
      </c>
      <c r="E8" s="22" t="s">
        <v>610</v>
      </c>
      <c r="F8" s="23">
        <v>2000000</v>
      </c>
      <c r="G8" s="22" t="s">
        <v>608</v>
      </c>
      <c r="H8" s="22" t="s">
        <v>122</v>
      </c>
    </row>
    <row r="9" spans="1:8" ht="108.75" customHeight="1" x14ac:dyDescent="0.25">
      <c r="A9" s="24" t="s">
        <v>611</v>
      </c>
      <c r="B9" s="25" t="s">
        <v>120</v>
      </c>
      <c r="C9" s="25" t="s">
        <v>118</v>
      </c>
      <c r="D9" s="25" t="s">
        <v>619</v>
      </c>
      <c r="E9" s="25" t="s">
        <v>612</v>
      </c>
      <c r="F9" s="26">
        <v>1750000</v>
      </c>
      <c r="G9" s="25" t="s">
        <v>620</v>
      </c>
      <c r="H9" s="25" t="s">
        <v>124</v>
      </c>
    </row>
    <row r="10" spans="1:8" ht="20.100000000000001" customHeight="1" x14ac:dyDescent="0.25">
      <c r="A10" s="27" t="s">
        <v>560</v>
      </c>
      <c r="B10" s="27"/>
      <c r="C10" s="27"/>
      <c r="D10" s="27"/>
      <c r="E10" s="27"/>
      <c r="F10" s="28">
        <f>SUM(F6:F9)</f>
        <v>11250000</v>
      </c>
      <c r="G10" s="27"/>
      <c r="H10" s="27"/>
    </row>
    <row r="11" spans="1:8" ht="30" customHeight="1" x14ac:dyDescent="0.25">
      <c r="A11" s="91" t="s">
        <v>125</v>
      </c>
      <c r="B11" s="91"/>
      <c r="C11" s="91"/>
      <c r="D11" s="91"/>
      <c r="E11" s="91"/>
      <c r="F11" s="91"/>
      <c r="G11" s="91"/>
      <c r="H11" s="91"/>
    </row>
    <row r="13" spans="1:8" ht="21.95" customHeight="1" x14ac:dyDescent="0.25">
      <c r="A13" s="88" t="s">
        <v>126</v>
      </c>
      <c r="B13" s="88"/>
      <c r="C13" s="88"/>
      <c r="D13" s="88"/>
      <c r="E13" s="88"/>
      <c r="F13" s="88"/>
      <c r="G13" s="88"/>
      <c r="H13" s="88"/>
    </row>
    <row r="14" spans="1:8" ht="26.1" customHeight="1" x14ac:dyDescent="0.25">
      <c r="A14" s="16" t="s">
        <v>127</v>
      </c>
      <c r="B14" s="17" t="s">
        <v>128</v>
      </c>
      <c r="C14" s="17" t="s">
        <v>559</v>
      </c>
      <c r="D14" s="17" t="s">
        <v>129</v>
      </c>
      <c r="E14" s="17" t="s">
        <v>130</v>
      </c>
      <c r="F14" s="17" t="s">
        <v>621</v>
      </c>
      <c r="G14" s="17" t="s">
        <v>75</v>
      </c>
      <c r="H14" s="17" t="s">
        <v>75</v>
      </c>
    </row>
    <row r="15" spans="1:8" ht="119.25" customHeight="1" x14ac:dyDescent="0.25">
      <c r="A15" s="21" t="s">
        <v>131</v>
      </c>
      <c r="B15" s="22">
        <v>1</v>
      </c>
      <c r="C15" s="23">
        <f>'NOMINA COMPLETA '!L107</f>
        <v>3061273.333333334</v>
      </c>
      <c r="D15" s="23">
        <f>B15*C15</f>
        <v>3061273.333333334</v>
      </c>
      <c r="E15" s="23">
        <f>D15*12</f>
        <v>36735280.000000007</v>
      </c>
      <c r="F15" s="22" t="s">
        <v>622</v>
      </c>
      <c r="G15" s="22"/>
      <c r="H15" s="22"/>
    </row>
    <row r="16" spans="1:8" ht="20.100000000000001" customHeight="1" x14ac:dyDescent="0.25">
      <c r="A16" s="27" t="s">
        <v>132</v>
      </c>
      <c r="B16" s="27"/>
      <c r="C16" s="27"/>
      <c r="D16" s="28">
        <f>SUM(D15)</f>
        <v>3061273.333333334</v>
      </c>
      <c r="E16" s="27"/>
      <c r="F16" s="27"/>
      <c r="G16" s="27"/>
      <c r="H16" s="27"/>
    </row>
    <row r="17" spans="1:8" ht="20.100000000000001" customHeight="1" x14ac:dyDescent="0.25">
      <c r="A17" s="27" t="s">
        <v>133</v>
      </c>
      <c r="B17" s="27"/>
      <c r="C17" s="27"/>
      <c r="D17" s="27"/>
      <c r="E17" s="28">
        <f>SUM(E15)</f>
        <v>36735280.000000007</v>
      </c>
      <c r="F17" s="27"/>
      <c r="G17" s="27"/>
      <c r="H17" s="27"/>
    </row>
    <row r="19" spans="1:8" ht="21.95" customHeight="1" x14ac:dyDescent="0.25">
      <c r="A19" s="88" t="s">
        <v>134</v>
      </c>
      <c r="B19" s="88"/>
      <c r="C19" s="88"/>
      <c r="D19" s="88"/>
      <c r="E19" s="88"/>
      <c r="F19" s="88"/>
      <c r="G19" s="88"/>
      <c r="H19" s="88"/>
    </row>
    <row r="20" spans="1:8" ht="26.1" customHeight="1" x14ac:dyDescent="0.25">
      <c r="A20" s="16" t="s">
        <v>135</v>
      </c>
      <c r="B20" s="17" t="s">
        <v>136</v>
      </c>
      <c r="C20" s="17" t="s">
        <v>137</v>
      </c>
      <c r="D20" s="17" t="s">
        <v>138</v>
      </c>
      <c r="E20" s="17" t="s">
        <v>75</v>
      </c>
      <c r="F20" s="17" t="s">
        <v>75</v>
      </c>
      <c r="G20" s="17" t="s">
        <v>75</v>
      </c>
      <c r="H20" s="17" t="s">
        <v>75</v>
      </c>
    </row>
    <row r="21" spans="1:8" ht="36" customHeight="1" x14ac:dyDescent="0.25">
      <c r="A21" s="18" t="s">
        <v>602</v>
      </c>
      <c r="B21" s="20">
        <v>1000000</v>
      </c>
      <c r="C21" s="20">
        <f>B21*12</f>
        <v>12000000</v>
      </c>
      <c r="D21" s="19" t="s">
        <v>613</v>
      </c>
      <c r="E21" s="19"/>
      <c r="F21" s="19"/>
      <c r="G21" s="19"/>
      <c r="H21" s="19"/>
    </row>
    <row r="22" spans="1:8" ht="36" customHeight="1" x14ac:dyDescent="0.25">
      <c r="A22" s="18" t="s">
        <v>614</v>
      </c>
      <c r="B22" s="20">
        <v>120000</v>
      </c>
      <c r="C22" s="20">
        <f>B22*12</f>
        <v>1440000</v>
      </c>
      <c r="D22" s="19" t="s">
        <v>615</v>
      </c>
      <c r="E22" s="19"/>
      <c r="F22" s="19"/>
      <c r="G22" s="19"/>
      <c r="H22" s="19"/>
    </row>
    <row r="23" spans="1:8" ht="20.100000000000001" customHeight="1" x14ac:dyDescent="0.25">
      <c r="A23" s="27" t="s">
        <v>139</v>
      </c>
      <c r="B23" s="28">
        <f>SUM(B21:B22)</f>
        <v>1120000</v>
      </c>
      <c r="C23" s="27"/>
      <c r="D23" s="27"/>
      <c r="E23" s="27"/>
      <c r="F23" s="27"/>
      <c r="G23" s="27"/>
      <c r="H23" s="27"/>
    </row>
    <row r="24" spans="1:8" ht="20.100000000000001" customHeight="1" x14ac:dyDescent="0.25">
      <c r="A24" s="27" t="s">
        <v>140</v>
      </c>
      <c r="B24" s="27"/>
      <c r="C24" s="28">
        <f>SUM(C21:C22)</f>
        <v>13440000</v>
      </c>
      <c r="D24" s="27"/>
      <c r="E24" s="27"/>
      <c r="F24" s="27"/>
      <c r="G24" s="27"/>
      <c r="H24" s="27"/>
    </row>
    <row r="26" spans="1:8" ht="21.95" customHeight="1" x14ac:dyDescent="0.25">
      <c r="A26" s="88" t="s">
        <v>141</v>
      </c>
      <c r="B26" s="88"/>
      <c r="C26" s="88"/>
      <c r="D26" s="88"/>
      <c r="E26" s="88"/>
      <c r="F26" s="88"/>
      <c r="G26" s="88"/>
      <c r="H26" s="88"/>
    </row>
    <row r="27" spans="1:8" ht="26.1" customHeight="1" x14ac:dyDescent="0.25">
      <c r="A27" s="16" t="s">
        <v>106</v>
      </c>
      <c r="B27" s="17" t="s">
        <v>142</v>
      </c>
      <c r="C27" s="17" t="s">
        <v>559</v>
      </c>
      <c r="D27" s="17" t="s">
        <v>129</v>
      </c>
      <c r="E27" s="17" t="s">
        <v>130</v>
      </c>
      <c r="F27" s="17" t="s">
        <v>623</v>
      </c>
      <c r="G27" s="17" t="s">
        <v>75</v>
      </c>
      <c r="H27" s="17" t="s">
        <v>75</v>
      </c>
    </row>
    <row r="28" spans="1:8" ht="51" x14ac:dyDescent="0.25">
      <c r="A28" s="18" t="s">
        <v>143</v>
      </c>
      <c r="B28" s="19" t="s">
        <v>144</v>
      </c>
      <c r="C28" s="20">
        <f>'NOMINA COMPLETA '!L105</f>
        <v>6225990</v>
      </c>
      <c r="D28" s="20">
        <f>C28</f>
        <v>6225990</v>
      </c>
      <c r="E28" s="20">
        <f>D28*12</f>
        <v>74711880</v>
      </c>
      <c r="F28" s="19" t="s">
        <v>624</v>
      </c>
      <c r="G28" s="19"/>
      <c r="H28" s="19"/>
    </row>
    <row r="29" spans="1:8" ht="63.75" x14ac:dyDescent="0.25">
      <c r="A29" s="18" t="s">
        <v>117</v>
      </c>
      <c r="B29" s="19" t="s">
        <v>144</v>
      </c>
      <c r="C29" s="20">
        <f>'NOMINA COMPLETA '!L106</f>
        <v>4444826.666666667</v>
      </c>
      <c r="D29" s="20">
        <f>C29</f>
        <v>4444826.666666667</v>
      </c>
      <c r="E29" s="20">
        <f>D29*12</f>
        <v>53337920</v>
      </c>
      <c r="F29" s="19" t="s">
        <v>625</v>
      </c>
      <c r="G29" s="19"/>
      <c r="H29" s="19"/>
    </row>
    <row r="30" spans="1:8" ht="20.100000000000001" customHeight="1" x14ac:dyDescent="0.25">
      <c r="A30" s="27" t="s">
        <v>145</v>
      </c>
      <c r="B30" s="27"/>
      <c r="C30" s="27"/>
      <c r="D30" s="28">
        <f>SUM(D28:D29)</f>
        <v>10670816.666666668</v>
      </c>
      <c r="E30" s="28">
        <f>SUM(E28:E29)</f>
        <v>128049800</v>
      </c>
      <c r="F30" s="27"/>
      <c r="G30" s="27"/>
      <c r="H30" s="27"/>
    </row>
    <row r="32" spans="1:8" ht="63.75" x14ac:dyDescent="0.25">
      <c r="A32" s="24" t="s">
        <v>123</v>
      </c>
      <c r="B32" s="25" t="s">
        <v>146</v>
      </c>
      <c r="C32" s="26">
        <f>'NOMINA COMPLETA '!L108</f>
        <v>2715385</v>
      </c>
      <c r="D32" s="26">
        <f>C32</f>
        <v>2715385</v>
      </c>
      <c r="E32" s="26">
        <f>D32*12</f>
        <v>32584620</v>
      </c>
      <c r="F32" s="25" t="s">
        <v>626</v>
      </c>
      <c r="G32" s="25"/>
      <c r="H32" s="25"/>
    </row>
    <row r="33" spans="1:8" ht="20.100000000000001" customHeight="1" x14ac:dyDescent="0.25">
      <c r="A33" s="27" t="s">
        <v>147</v>
      </c>
      <c r="B33" s="27"/>
      <c r="C33" s="27"/>
      <c r="D33" s="28">
        <f>SUM(D32:D32)</f>
        <v>2715385</v>
      </c>
      <c r="E33" s="28">
        <f>SUM(E32:E32)</f>
        <v>32584620</v>
      </c>
      <c r="F33" s="27"/>
      <c r="G33" s="27"/>
      <c r="H33" s="27"/>
    </row>
    <row r="35" spans="1:8" ht="20.100000000000001" customHeight="1" x14ac:dyDescent="0.25">
      <c r="A35" t="s">
        <v>148</v>
      </c>
      <c r="E35" s="29">
        <f>E30</f>
        <v>128049800</v>
      </c>
    </row>
    <row r="36" spans="1:8" ht="20.100000000000001" customHeight="1" x14ac:dyDescent="0.25">
      <c r="A36" t="s">
        <v>149</v>
      </c>
      <c r="E36" s="30">
        <f>E33</f>
        <v>32584620</v>
      </c>
    </row>
    <row r="38" spans="1:8" ht="21.95" customHeight="1" x14ac:dyDescent="0.25">
      <c r="A38" s="88" t="s">
        <v>150</v>
      </c>
      <c r="B38" s="88"/>
      <c r="C38" s="88"/>
      <c r="D38" s="88"/>
      <c r="E38" s="88"/>
      <c r="F38" s="88"/>
      <c r="G38" s="88"/>
      <c r="H38" s="88"/>
    </row>
    <row r="39" spans="1:8" ht="26.1" customHeight="1" x14ac:dyDescent="0.25">
      <c r="A39" s="16" t="s">
        <v>151</v>
      </c>
      <c r="B39" s="17" t="s">
        <v>152</v>
      </c>
      <c r="C39" s="17" t="s">
        <v>153</v>
      </c>
      <c r="D39" s="17" t="s">
        <v>154</v>
      </c>
      <c r="E39" s="17" t="s">
        <v>155</v>
      </c>
      <c r="F39" s="17" t="s">
        <v>156</v>
      </c>
      <c r="G39" s="17" t="s">
        <v>75</v>
      </c>
      <c r="H39" s="17" t="s">
        <v>75</v>
      </c>
    </row>
    <row r="40" spans="1:8" ht="26.1" customHeight="1" x14ac:dyDescent="0.25">
      <c r="A40" s="18" t="s">
        <v>157</v>
      </c>
      <c r="B40" s="20">
        <f>Costos!B6</f>
        <v>36735280.000000007</v>
      </c>
      <c r="C40" s="20">
        <f>Costos!C6</f>
        <v>38939400</v>
      </c>
      <c r="D40" s="20">
        <f>Costos!D6</f>
        <v>82551528</v>
      </c>
      <c r="E40" s="20">
        <f>Costos!E6</f>
        <v>87504624</v>
      </c>
      <c r="F40" s="20">
        <f>Costos!F6</f>
        <v>139132368</v>
      </c>
      <c r="G40" s="19" t="s">
        <v>158</v>
      </c>
      <c r="H40" s="19"/>
    </row>
    <row r="41" spans="1:8" ht="26.1" customHeight="1" x14ac:dyDescent="0.25">
      <c r="A41" s="18" t="s">
        <v>159</v>
      </c>
      <c r="B41" s="20">
        <f>Gastos!B5</f>
        <v>128049800</v>
      </c>
      <c r="C41" s="20">
        <f>Gastos!C5</f>
        <v>135732792</v>
      </c>
      <c r="D41" s="20">
        <f>Gastos!D5</f>
        <v>143876760</v>
      </c>
      <c r="E41" s="20">
        <f>Gastos!E5</f>
        <v>152509368</v>
      </c>
      <c r="F41" s="20">
        <f>Gastos!F5</f>
        <v>161659920</v>
      </c>
      <c r="G41" s="19" t="s">
        <v>160</v>
      </c>
      <c r="H41" s="19"/>
    </row>
    <row r="42" spans="1:8" ht="26.1" customHeight="1" x14ac:dyDescent="0.25">
      <c r="A42" s="18" t="s">
        <v>161</v>
      </c>
      <c r="B42" s="20">
        <f>Gastos!B6</f>
        <v>32584620</v>
      </c>
      <c r="C42" s="20">
        <f>Gastos!C6</f>
        <v>38139696</v>
      </c>
      <c r="D42" s="20">
        <f>Gastos!D6</f>
        <v>53395572</v>
      </c>
      <c r="E42" s="20">
        <f>Gastos!E6</f>
        <v>69414240</v>
      </c>
      <c r="F42" s="20">
        <f>Gastos!F6</f>
        <v>93709224</v>
      </c>
      <c r="G42" s="19" t="s">
        <v>162</v>
      </c>
      <c r="H42" s="19"/>
    </row>
    <row r="43" spans="1:8" ht="20.100000000000001" customHeight="1" x14ac:dyDescent="0.25">
      <c r="A43" s="27" t="s">
        <v>163</v>
      </c>
      <c r="B43" s="28">
        <f>SUM(B40:B42)</f>
        <v>197369700</v>
      </c>
      <c r="C43" s="28">
        <f>SUM(C40:C42)</f>
        <v>212811888</v>
      </c>
      <c r="D43" s="28">
        <f>SUM(D40:D42)</f>
        <v>279823860</v>
      </c>
      <c r="E43" s="28">
        <f>SUM(E40:E42)</f>
        <v>309428232</v>
      </c>
      <c r="F43" s="28">
        <f>SUM(F40:F42)</f>
        <v>394501512</v>
      </c>
      <c r="G43" s="27"/>
      <c r="H43" s="27"/>
    </row>
    <row r="45" spans="1:8" ht="21.95" customHeight="1" x14ac:dyDescent="0.25">
      <c r="A45" s="88" t="s">
        <v>164</v>
      </c>
      <c r="B45" s="88"/>
      <c r="C45" s="88"/>
      <c r="D45" s="88"/>
      <c r="E45" s="88"/>
      <c r="F45" s="88"/>
      <c r="G45" s="88"/>
      <c r="H45" s="88"/>
    </row>
    <row r="46" spans="1:8" ht="25.5" customHeight="1" x14ac:dyDescent="0.25">
      <c r="A46" s="31" t="s">
        <v>165</v>
      </c>
      <c r="B46" s="32">
        <f>+Costos!E17</f>
        <v>6457533.5999999996</v>
      </c>
      <c r="C46" s="33"/>
      <c r="D46" s="33"/>
      <c r="E46" s="33"/>
      <c r="F46" s="33"/>
      <c r="G46" s="33"/>
      <c r="H46" s="33"/>
    </row>
    <row r="47" spans="1:8" ht="25.5" customHeight="1" x14ac:dyDescent="0.25">
      <c r="A47" s="18" t="s">
        <v>166</v>
      </c>
      <c r="B47" s="20">
        <f>E17</f>
        <v>36735280.000000007</v>
      </c>
      <c r="C47" s="19"/>
      <c r="D47" s="19"/>
      <c r="E47" s="19"/>
      <c r="F47" s="19"/>
      <c r="G47" s="19"/>
      <c r="H47" s="19"/>
    </row>
    <row r="48" spans="1:8" ht="25.5" customHeight="1" x14ac:dyDescent="0.25">
      <c r="A48" s="31" t="s">
        <v>167</v>
      </c>
      <c r="B48" s="32">
        <f>C24</f>
        <v>13440000</v>
      </c>
      <c r="C48" s="33"/>
      <c r="D48" s="33"/>
      <c r="E48" s="33"/>
      <c r="F48" s="33"/>
      <c r="G48" s="33"/>
      <c r="H48" s="33"/>
    </row>
    <row r="49" spans="1:8" ht="20.100000000000001" customHeight="1" x14ac:dyDescent="0.25">
      <c r="A49" s="27" t="s">
        <v>168</v>
      </c>
      <c r="B49" s="28">
        <f>SUM(B46:B48)</f>
        <v>56632813.600000009</v>
      </c>
      <c r="C49" s="27"/>
      <c r="D49" s="27"/>
      <c r="E49" s="27"/>
      <c r="F49" s="27"/>
      <c r="G49" s="27"/>
      <c r="H49" s="27"/>
    </row>
  </sheetData>
  <mergeCells count="9">
    <mergeCell ref="A19:H19"/>
    <mergeCell ref="A26:H26"/>
    <mergeCell ref="A38:H38"/>
    <mergeCell ref="A45:H45"/>
    <mergeCell ref="A1:H1"/>
    <mergeCell ref="A2:H2"/>
    <mergeCell ref="A4:H4"/>
    <mergeCell ref="A11:H11"/>
    <mergeCell ref="A13:H13"/>
  </mergeCells>
  <pageMargins left="0.7" right="0.7" top="0.75" bottom="0.75" header="0.3" footer="0.3"/>
  <pageSetup orientation="portrait" useFirstPageNumber="1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D2D3B-0692-43B1-8340-93BB7A59AEAD}">
  <dimension ref="A1:AP988"/>
  <sheetViews>
    <sheetView showGridLines="0" topLeftCell="A57" zoomScale="70" zoomScaleNormal="70" workbookViewId="0">
      <selection activeCell="N110" sqref="N110"/>
    </sheetView>
  </sheetViews>
  <sheetFormatPr baseColWidth="10" defaultColWidth="14.42578125" defaultRowHeight="15" customHeight="1" x14ac:dyDescent="0.25"/>
  <cols>
    <col min="1" max="2" width="10.7109375" style="74" customWidth="1"/>
    <col min="3" max="3" width="15.7109375" style="74" customWidth="1"/>
    <col min="4" max="4" width="15" style="74" customWidth="1"/>
    <col min="5" max="5" width="20.85546875" style="74" customWidth="1"/>
    <col min="6" max="6" width="20.7109375" style="74" customWidth="1"/>
    <col min="7" max="7" width="10.7109375" style="74" customWidth="1"/>
    <col min="8" max="8" width="24.7109375" style="74" customWidth="1"/>
    <col min="9" max="9" width="10.7109375" style="74" customWidth="1"/>
    <col min="10" max="10" width="24.7109375" style="74" customWidth="1"/>
    <col min="11" max="11" width="12.85546875" style="74" bestFit="1" customWidth="1"/>
    <col min="12" max="12" width="26.7109375" style="74" customWidth="1"/>
    <col min="13" max="13" width="14.7109375" style="74" customWidth="1"/>
    <col min="14" max="14" width="26.7109375" style="74" customWidth="1"/>
    <col min="15" max="23" width="10.7109375" style="74" customWidth="1"/>
    <col min="24" max="24" width="13.5703125" style="74" bestFit="1" customWidth="1"/>
    <col min="25" max="42" width="10.7109375" style="74" customWidth="1"/>
    <col min="43" max="16384" width="14.42578125" style="74"/>
  </cols>
  <sheetData>
    <row r="1" spans="1:42" ht="15.75" thickBot="1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ht="15.75" thickTop="1" x14ac:dyDescent="0.25">
      <c r="A2" s="73"/>
      <c r="B2" s="112" t="s">
        <v>553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4"/>
      <c r="AJ2" s="73"/>
      <c r="AK2" s="73"/>
      <c r="AL2" s="73"/>
      <c r="AM2" s="73"/>
      <c r="AN2" s="73"/>
      <c r="AO2" s="73"/>
      <c r="AP2" s="73"/>
    </row>
    <row r="3" spans="1:42" x14ac:dyDescent="0.25">
      <c r="A3" s="73"/>
      <c r="B3" s="115" t="s">
        <v>483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7"/>
      <c r="AJ3" s="73"/>
      <c r="AK3" s="73"/>
      <c r="AL3" s="73"/>
      <c r="AM3" s="73"/>
      <c r="AN3" s="73"/>
      <c r="AO3" s="73"/>
      <c r="AP3" s="73"/>
    </row>
    <row r="4" spans="1:42" ht="15.75" thickBot="1" x14ac:dyDescent="0.3">
      <c r="A4" s="73"/>
      <c r="B4" s="118" t="s">
        <v>554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20"/>
      <c r="AJ4" s="73"/>
      <c r="AK4" s="73"/>
      <c r="AL4" s="73"/>
      <c r="AM4" s="73"/>
      <c r="AN4" s="73"/>
      <c r="AO4" s="73"/>
      <c r="AP4" s="73"/>
    </row>
    <row r="5" spans="1:42" ht="15.75" thickTop="1" x14ac:dyDescent="0.2">
      <c r="A5" s="73"/>
      <c r="B5" s="121" t="s">
        <v>484</v>
      </c>
      <c r="C5" s="113"/>
      <c r="D5" s="113"/>
      <c r="E5" s="113"/>
      <c r="F5" s="113"/>
      <c r="G5" s="113"/>
      <c r="H5" s="113"/>
      <c r="I5" s="113"/>
      <c r="J5" s="113"/>
      <c r="K5" s="114"/>
      <c r="L5" s="121" t="s">
        <v>485</v>
      </c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21" t="s">
        <v>486</v>
      </c>
      <c r="Y5" s="113"/>
      <c r="Z5" s="113"/>
      <c r="AA5" s="113"/>
      <c r="AB5" s="113"/>
      <c r="AC5" s="113"/>
      <c r="AD5" s="113"/>
      <c r="AE5" s="113"/>
      <c r="AF5" s="113"/>
      <c r="AG5" s="114"/>
      <c r="AH5" s="123" t="s">
        <v>487</v>
      </c>
      <c r="AI5" s="114"/>
      <c r="AJ5" s="73"/>
      <c r="AK5" s="73"/>
      <c r="AL5" s="73"/>
      <c r="AM5" s="73"/>
      <c r="AN5" s="73"/>
      <c r="AO5" s="73"/>
      <c r="AP5" s="73"/>
    </row>
    <row r="6" spans="1:42" ht="15.75" thickBot="1" x14ac:dyDescent="0.25">
      <c r="A6" s="73"/>
      <c r="B6" s="122"/>
      <c r="C6" s="119"/>
      <c r="D6" s="119"/>
      <c r="E6" s="119"/>
      <c r="F6" s="119"/>
      <c r="G6" s="119"/>
      <c r="H6" s="119"/>
      <c r="I6" s="119"/>
      <c r="J6" s="119"/>
      <c r="K6" s="120"/>
      <c r="L6" s="122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20"/>
      <c r="X6" s="122"/>
      <c r="Y6" s="119"/>
      <c r="Z6" s="119"/>
      <c r="AA6" s="119"/>
      <c r="AB6" s="119"/>
      <c r="AC6" s="119"/>
      <c r="AD6" s="119"/>
      <c r="AE6" s="119"/>
      <c r="AF6" s="119"/>
      <c r="AG6" s="120"/>
      <c r="AH6" s="119"/>
      <c r="AI6" s="120"/>
      <c r="AJ6" s="73"/>
      <c r="AK6" s="73"/>
      <c r="AL6" s="73"/>
      <c r="AM6" s="73"/>
      <c r="AN6" s="73"/>
      <c r="AO6" s="73"/>
      <c r="AP6" s="73"/>
    </row>
    <row r="7" spans="1:42" ht="15.75" thickTop="1" x14ac:dyDescent="0.25">
      <c r="A7" s="73"/>
      <c r="B7" s="138" t="s">
        <v>488</v>
      </c>
      <c r="C7" s="125"/>
      <c r="D7" s="129" t="s">
        <v>489</v>
      </c>
      <c r="E7" s="127"/>
      <c r="F7" s="126" t="s">
        <v>490</v>
      </c>
      <c r="G7" s="127"/>
      <c r="H7" s="126" t="s">
        <v>491</v>
      </c>
      <c r="I7" s="127"/>
      <c r="J7" s="126" t="s">
        <v>492</v>
      </c>
      <c r="K7" s="128"/>
      <c r="L7" s="130" t="s">
        <v>493</v>
      </c>
      <c r="M7" s="127"/>
      <c r="N7" s="126" t="s">
        <v>494</v>
      </c>
      <c r="O7" s="127"/>
      <c r="P7" s="126" t="s">
        <v>495</v>
      </c>
      <c r="Q7" s="127"/>
      <c r="R7" s="126" t="s">
        <v>496</v>
      </c>
      <c r="S7" s="127"/>
      <c r="T7" s="126" t="s">
        <v>497</v>
      </c>
      <c r="U7" s="127"/>
      <c r="V7" s="126" t="s">
        <v>498</v>
      </c>
      <c r="W7" s="128"/>
      <c r="X7" s="130" t="s">
        <v>499</v>
      </c>
      <c r="Y7" s="127"/>
      <c r="Z7" s="124" t="s">
        <v>500</v>
      </c>
      <c r="AA7" s="125"/>
      <c r="AB7" s="126" t="s">
        <v>501</v>
      </c>
      <c r="AC7" s="127"/>
      <c r="AD7" s="126" t="s">
        <v>502</v>
      </c>
      <c r="AE7" s="127"/>
      <c r="AF7" s="126" t="s">
        <v>503</v>
      </c>
      <c r="AG7" s="128"/>
      <c r="AH7" s="129" t="s">
        <v>504</v>
      </c>
      <c r="AI7" s="128"/>
      <c r="AJ7" s="73"/>
      <c r="AK7" s="73"/>
      <c r="AL7" s="73"/>
      <c r="AM7" s="73"/>
      <c r="AN7" s="73"/>
      <c r="AO7" s="73"/>
      <c r="AP7" s="73"/>
    </row>
    <row r="8" spans="1:42" x14ac:dyDescent="0.25">
      <c r="A8" s="75"/>
      <c r="B8" s="131"/>
      <c r="C8" s="132"/>
      <c r="D8" s="133"/>
      <c r="E8" s="127"/>
      <c r="F8" s="134" t="s">
        <v>118</v>
      </c>
      <c r="G8" s="135"/>
      <c r="H8" s="136">
        <f>+Nomina!F6</f>
        <v>4500000</v>
      </c>
      <c r="I8" s="135"/>
      <c r="J8" s="134">
        <v>30</v>
      </c>
      <c r="K8" s="137"/>
      <c r="L8" s="139">
        <f>(H8/J8)*30</f>
        <v>4500000</v>
      </c>
      <c r="M8" s="135"/>
      <c r="N8" s="136"/>
      <c r="O8" s="135"/>
      <c r="P8" s="136"/>
      <c r="Q8" s="135"/>
      <c r="R8" s="143"/>
      <c r="S8" s="135"/>
      <c r="T8" s="136">
        <f>IF(H8&lt;=3500000, (250000/30)*J8, 0)</f>
        <v>0</v>
      </c>
      <c r="U8" s="135"/>
      <c r="V8" s="136">
        <f>SUM(L8:U8)</f>
        <v>4500000</v>
      </c>
      <c r="W8" s="137"/>
      <c r="X8" s="139">
        <f>(V8-T8)*4%</f>
        <v>180000</v>
      </c>
      <c r="Y8" s="135"/>
      <c r="Z8" s="140">
        <f>(V8-T8)*4%</f>
        <v>180000</v>
      </c>
      <c r="AA8" s="141"/>
      <c r="AB8" s="142">
        <f>IF(L8&gt;=7000000, L8*1%, 0)</f>
        <v>0</v>
      </c>
      <c r="AC8" s="135"/>
      <c r="AD8" s="136">
        <f>ROUND(IF((MAX(0, (L8-(X8+Z8+AB8))*0.75)/52374)&lt;=95, 0, IF((MAX(0, (L8-(X8+Z8+AB8))*0.75)/52374)&lt;=150, ((MAX(0, (L8-(X8+Z8+AB8))*0.75)/52374)-95)*0.19*52374, IF((MAX(0, (L8-(X8+Z8+AB8))*0.75)/52374)&lt;=360, (((MAX(0, (L8-(X8+Z8+AB8))*0.75)/52374)-150)*0.28+10)*52374, IF((MAX(0, (L8-(X8+Z8+AB8))*0.75)/52374)&lt;=640, (((MAX(0, (L8-(X8+Z8+AB8))*0.75)/52374)-360)*0.33+69)*52374, 0)))), 0)</f>
        <v>0</v>
      </c>
      <c r="AE8" s="135"/>
      <c r="AF8" s="136">
        <f t="shared" ref="AF8:AF11" si="0">SUM(X8:AE8)</f>
        <v>360000</v>
      </c>
      <c r="AG8" s="137"/>
      <c r="AH8" s="142">
        <f>V8-AF8</f>
        <v>4140000</v>
      </c>
      <c r="AI8" s="137"/>
      <c r="AJ8" s="73"/>
      <c r="AK8" s="73"/>
      <c r="AL8" s="73"/>
      <c r="AM8" s="73"/>
      <c r="AN8" s="73"/>
      <c r="AO8" s="73"/>
      <c r="AP8" s="73"/>
    </row>
    <row r="9" spans="1:42" x14ac:dyDescent="0.25">
      <c r="A9" s="75"/>
      <c r="B9" s="147"/>
      <c r="C9" s="135"/>
      <c r="D9" s="133"/>
      <c r="E9" s="127"/>
      <c r="F9" s="134" t="s">
        <v>555</v>
      </c>
      <c r="G9" s="135"/>
      <c r="H9" s="136">
        <f>+Nomina!F7</f>
        <v>3000000</v>
      </c>
      <c r="I9" s="135"/>
      <c r="J9" s="134">
        <v>30</v>
      </c>
      <c r="K9" s="137"/>
      <c r="L9" s="139">
        <f t="shared" ref="L9:L10" si="1">(H9/J9)*30</f>
        <v>3000000</v>
      </c>
      <c r="M9" s="135"/>
      <c r="N9" s="136"/>
      <c r="O9" s="135"/>
      <c r="P9" s="136"/>
      <c r="Q9" s="135"/>
      <c r="R9" s="143"/>
      <c r="S9" s="135"/>
      <c r="T9" s="136">
        <f t="shared" ref="T9:T11" si="2">IF(H9&lt;=3500000, (250000/30)*J9, 0)</f>
        <v>250000.00000000003</v>
      </c>
      <c r="U9" s="135"/>
      <c r="V9" s="136">
        <f t="shared" ref="V9:V11" si="3">SUM(L9:U9)</f>
        <v>3250000</v>
      </c>
      <c r="W9" s="146"/>
      <c r="X9" s="139">
        <f>(V9-T9)*4%</f>
        <v>120000</v>
      </c>
      <c r="Y9" s="135"/>
      <c r="Z9" s="140">
        <f t="shared" ref="Z9:Z11" si="4">(V9-T9)*4%</f>
        <v>120000</v>
      </c>
      <c r="AA9" s="141"/>
      <c r="AB9" s="142">
        <f t="shared" ref="AB9:AB11" si="5">IF(L9&gt;=7000000, L9*1%, 0)</f>
        <v>0</v>
      </c>
      <c r="AC9" s="135"/>
      <c r="AD9" s="136">
        <f t="shared" ref="AD9:AD11" si="6">ROUND(IF((MAX(0, (L9-(V9+Z9+AC9))*0.75)/52374)&lt;=95, 0, IF((MAX(0, (L9-(V9+Z9+AC9))*0.75)/52374)&lt;=150, ((MAX(0, (L9-(V9+Z9+AC9))*0.75)/52374)-95)*0.19*52374, IF((MAX(0, (L9-(V9+Z9+AC9))*0.75)/52374)&lt;=360, (((MAX(0, (L9-(V9+Z9+AC9))*0.75)/52374)-150)*0.28+10)*52374, IF((MAX(0, (L9-(V9+Z9+AC9))*0.75)/52374)&lt;=640, (((MAX(0, (L9-(V9+Z9+AC9))*0.75)/52374)-360)*0.33+69)*52374, 0)))), 0)</f>
        <v>0</v>
      </c>
      <c r="AE9" s="135"/>
      <c r="AF9" s="136">
        <f t="shared" si="0"/>
        <v>240000</v>
      </c>
      <c r="AG9" s="137"/>
      <c r="AH9" s="142">
        <f t="shared" ref="AH9:AH11" si="7">V9-AF9</f>
        <v>3010000</v>
      </c>
      <c r="AI9" s="137"/>
      <c r="AJ9" s="73"/>
      <c r="AK9" s="73"/>
      <c r="AL9" s="73"/>
      <c r="AM9" s="73"/>
      <c r="AN9" s="73"/>
      <c r="AO9" s="73"/>
      <c r="AP9" s="73"/>
    </row>
    <row r="10" spans="1:42" x14ac:dyDescent="0.25">
      <c r="A10" s="75"/>
      <c r="B10" s="131"/>
      <c r="C10" s="132"/>
      <c r="D10" s="133"/>
      <c r="E10" s="127"/>
      <c r="F10" s="144" t="s">
        <v>119</v>
      </c>
      <c r="G10" s="145"/>
      <c r="H10" s="136">
        <f>+Nomina!F8</f>
        <v>2000000</v>
      </c>
      <c r="I10" s="135"/>
      <c r="J10" s="134">
        <v>30</v>
      </c>
      <c r="K10" s="137"/>
      <c r="L10" s="139">
        <f t="shared" si="1"/>
        <v>2000000.0000000002</v>
      </c>
      <c r="M10" s="135"/>
      <c r="N10" s="136"/>
      <c r="O10" s="135"/>
      <c r="P10" s="136"/>
      <c r="Q10" s="135"/>
      <c r="R10" s="143"/>
      <c r="S10" s="135"/>
      <c r="T10" s="136">
        <f t="shared" si="2"/>
        <v>250000.00000000003</v>
      </c>
      <c r="U10" s="135"/>
      <c r="V10" s="136">
        <f t="shared" si="3"/>
        <v>2250000.0000000005</v>
      </c>
      <c r="W10" s="137"/>
      <c r="X10" s="139">
        <f>(V10-T10)*4%</f>
        <v>80000.000000000015</v>
      </c>
      <c r="Y10" s="135"/>
      <c r="Z10" s="140">
        <f t="shared" si="4"/>
        <v>80000.000000000015</v>
      </c>
      <c r="AA10" s="141"/>
      <c r="AB10" s="142">
        <f t="shared" si="5"/>
        <v>0</v>
      </c>
      <c r="AC10" s="135"/>
      <c r="AD10" s="136">
        <f t="shared" si="6"/>
        <v>0</v>
      </c>
      <c r="AE10" s="135"/>
      <c r="AF10" s="136">
        <f t="shared" si="0"/>
        <v>160000.00000000003</v>
      </c>
      <c r="AG10" s="137"/>
      <c r="AH10" s="142">
        <f t="shared" si="7"/>
        <v>2090000.0000000005</v>
      </c>
      <c r="AI10" s="137"/>
      <c r="AJ10" s="73"/>
      <c r="AK10" s="73"/>
      <c r="AL10" s="73"/>
      <c r="AM10" s="73"/>
      <c r="AN10" s="73"/>
      <c r="AO10" s="73"/>
      <c r="AP10" s="73"/>
    </row>
    <row r="11" spans="1:42" x14ac:dyDescent="0.2">
      <c r="A11" s="75"/>
      <c r="B11" s="147"/>
      <c r="C11" s="135"/>
      <c r="D11" s="133"/>
      <c r="E11" s="127"/>
      <c r="F11" s="148" t="s">
        <v>123</v>
      </c>
      <c r="G11" s="149"/>
      <c r="H11" s="136">
        <f>+Nomina!F9</f>
        <v>1750000</v>
      </c>
      <c r="I11" s="135"/>
      <c r="J11" s="134">
        <v>30</v>
      </c>
      <c r="K11" s="137"/>
      <c r="L11" s="139">
        <f>(H11/J11)*30</f>
        <v>1750000</v>
      </c>
      <c r="M11" s="135"/>
      <c r="N11" s="136"/>
      <c r="O11" s="135"/>
      <c r="P11" s="136"/>
      <c r="Q11" s="135"/>
      <c r="R11" s="136"/>
      <c r="S11" s="135"/>
      <c r="T11" s="136">
        <f t="shared" si="2"/>
        <v>250000.00000000003</v>
      </c>
      <c r="U11" s="135"/>
      <c r="V11" s="136">
        <f t="shared" si="3"/>
        <v>2000000</v>
      </c>
      <c r="W11" s="137"/>
      <c r="X11" s="139">
        <f>(V11-T11)*4%</f>
        <v>70000</v>
      </c>
      <c r="Y11" s="135"/>
      <c r="Z11" s="140">
        <f t="shared" si="4"/>
        <v>70000</v>
      </c>
      <c r="AA11" s="141"/>
      <c r="AB11" s="142">
        <f t="shared" si="5"/>
        <v>0</v>
      </c>
      <c r="AC11" s="135"/>
      <c r="AD11" s="136">
        <f t="shared" si="6"/>
        <v>0</v>
      </c>
      <c r="AE11" s="135"/>
      <c r="AF11" s="136">
        <f t="shared" si="0"/>
        <v>140000</v>
      </c>
      <c r="AG11" s="137"/>
      <c r="AH11" s="142">
        <f t="shared" si="7"/>
        <v>1860000</v>
      </c>
      <c r="AI11" s="137"/>
      <c r="AJ11" s="73"/>
      <c r="AK11" s="73"/>
      <c r="AL11" s="73"/>
      <c r="AM11" s="73"/>
      <c r="AN11" s="73"/>
      <c r="AO11" s="73"/>
      <c r="AP11" s="73"/>
    </row>
    <row r="12" spans="1:42" ht="15.75" thickBot="1" x14ac:dyDescent="0.3">
      <c r="A12" s="75"/>
      <c r="B12" s="150"/>
      <c r="C12" s="151"/>
      <c r="D12" s="150"/>
      <c r="E12" s="151"/>
      <c r="F12" s="152"/>
      <c r="G12" s="151"/>
      <c r="H12" s="153">
        <f>SUM(H8:I11)</f>
        <v>11250000</v>
      </c>
      <c r="I12" s="151"/>
      <c r="J12" s="152"/>
      <c r="K12" s="154"/>
      <c r="L12" s="155">
        <f>SUM(L8:M11)</f>
        <v>11250000</v>
      </c>
      <c r="M12" s="151"/>
      <c r="N12" s="153">
        <f>SUM(N8:O11)</f>
        <v>0</v>
      </c>
      <c r="O12" s="159"/>
      <c r="P12" s="153">
        <f t="shared" ref="P12" si="8">SUM(P8:Q11)</f>
        <v>0</v>
      </c>
      <c r="Q12" s="159"/>
      <c r="R12" s="153">
        <f t="shared" ref="R12" si="9">SUM(R8:S11)</f>
        <v>0</v>
      </c>
      <c r="S12" s="159"/>
      <c r="T12" s="153">
        <f t="shared" ref="T12" si="10">SUM(T8:U11)</f>
        <v>750000.00000000012</v>
      </c>
      <c r="U12" s="159"/>
      <c r="V12" s="153">
        <f>SUM(V8:W11)</f>
        <v>12000000</v>
      </c>
      <c r="W12" s="159"/>
      <c r="X12" s="155">
        <f>SUM(X8:Y11)</f>
        <v>450000</v>
      </c>
      <c r="Y12" s="156"/>
      <c r="Z12" s="153">
        <f>SUM(Z8:AA11)</f>
        <v>450000</v>
      </c>
      <c r="AA12" s="156"/>
      <c r="AB12" s="153">
        <f>SUM(AB8:AC11)</f>
        <v>0</v>
      </c>
      <c r="AC12" s="156"/>
      <c r="AD12" s="153">
        <f>SUM(AD8:AE11)</f>
        <v>0</v>
      </c>
      <c r="AE12" s="151"/>
      <c r="AF12" s="157">
        <f>SUM(AF8:AG11)</f>
        <v>900000</v>
      </c>
      <c r="AG12" s="156"/>
      <c r="AH12" s="155">
        <f>SUM(AH8:AI11)</f>
        <v>11100000</v>
      </c>
      <c r="AI12" s="154"/>
      <c r="AJ12" s="73"/>
      <c r="AK12" s="73"/>
      <c r="AL12" s="73"/>
      <c r="AM12" s="73"/>
      <c r="AN12" s="73"/>
      <c r="AO12" s="73"/>
      <c r="AP12" s="73"/>
    </row>
    <row r="13" spans="1:42" ht="15.75" thickTop="1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6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</row>
    <row r="14" spans="1:42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</row>
    <row r="15" spans="1:42" ht="15.75" thickBo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</row>
    <row r="16" spans="1:42" ht="15.75" thickTop="1" x14ac:dyDescent="0.2">
      <c r="A16" s="73"/>
      <c r="B16" s="73"/>
      <c r="C16" s="73"/>
      <c r="D16" s="73"/>
      <c r="E16" s="73"/>
      <c r="F16" s="73"/>
      <c r="G16" s="73"/>
      <c r="H16" s="121" t="s">
        <v>505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4"/>
      <c r="Z16" s="73"/>
      <c r="AA16" s="76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</row>
    <row r="17" spans="1:42" ht="15.75" thickBot="1" x14ac:dyDescent="0.25">
      <c r="A17" s="73"/>
      <c r="B17" s="73"/>
      <c r="C17" s="73"/>
      <c r="D17" s="73"/>
      <c r="E17" s="73"/>
      <c r="F17" s="73"/>
      <c r="G17" s="73"/>
      <c r="H17" s="158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7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</row>
    <row r="18" spans="1:42" ht="15.75" customHeight="1" thickTop="1" thickBot="1" x14ac:dyDescent="0.3">
      <c r="A18" s="73"/>
      <c r="B18" s="73"/>
      <c r="C18" s="73"/>
      <c r="D18" s="73"/>
      <c r="E18" s="73"/>
      <c r="F18" s="73"/>
      <c r="G18" s="73"/>
      <c r="H18" s="160" t="s">
        <v>506</v>
      </c>
      <c r="I18" s="161"/>
      <c r="J18" s="161"/>
      <c r="K18" s="161"/>
      <c r="L18" s="161"/>
      <c r="M18" s="162"/>
      <c r="N18" s="160" t="s">
        <v>507</v>
      </c>
      <c r="O18" s="161"/>
      <c r="P18" s="161"/>
      <c r="Q18" s="161"/>
      <c r="R18" s="161"/>
      <c r="S18" s="162"/>
      <c r="T18" s="160" t="s">
        <v>508</v>
      </c>
      <c r="U18" s="161"/>
      <c r="V18" s="161"/>
      <c r="W18" s="161"/>
      <c r="X18" s="161"/>
      <c r="Y18" s="162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</row>
    <row r="19" spans="1:42" ht="15.75" customHeight="1" thickTop="1" x14ac:dyDescent="0.25">
      <c r="A19" s="73"/>
      <c r="B19" s="73"/>
      <c r="C19" s="73"/>
      <c r="D19" s="73"/>
      <c r="E19" s="73"/>
      <c r="F19" s="73"/>
      <c r="G19" s="73"/>
      <c r="H19" s="130" t="s">
        <v>509</v>
      </c>
      <c r="I19" s="127"/>
      <c r="J19" s="163">
        <v>8.5000000000000006E-2</v>
      </c>
      <c r="K19" s="127"/>
      <c r="L19" s="164"/>
      <c r="M19" s="128"/>
      <c r="N19" s="130" t="s">
        <v>510</v>
      </c>
      <c r="O19" s="127"/>
      <c r="P19" s="165">
        <v>0.04</v>
      </c>
      <c r="Q19" s="127"/>
      <c r="R19" s="166">
        <f>($V$12-$T$12)*P19</f>
        <v>450000</v>
      </c>
      <c r="S19" s="128"/>
      <c r="T19" s="129" t="s">
        <v>511</v>
      </c>
      <c r="U19" s="127"/>
      <c r="V19" s="167">
        <v>8.3333333333333301E-2</v>
      </c>
      <c r="W19" s="168"/>
      <c r="X19" s="166">
        <f>($V$12*V19)</f>
        <v>999999.99999999965</v>
      </c>
      <c r="Y19" s="128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</row>
    <row r="20" spans="1:42" ht="15.75" customHeight="1" x14ac:dyDescent="0.25">
      <c r="A20" s="73"/>
      <c r="B20" s="73"/>
      <c r="C20" s="73"/>
      <c r="D20" s="73"/>
      <c r="E20" s="73"/>
      <c r="F20" s="73"/>
      <c r="G20" s="73"/>
      <c r="H20" s="169" t="s">
        <v>512</v>
      </c>
      <c r="I20" s="135"/>
      <c r="J20" s="170">
        <v>0.12</v>
      </c>
      <c r="K20" s="135"/>
      <c r="L20" s="136">
        <f>(V12-T12)*J20</f>
        <v>1350000</v>
      </c>
      <c r="M20" s="137"/>
      <c r="N20" s="169" t="s">
        <v>513</v>
      </c>
      <c r="O20" s="135"/>
      <c r="P20" s="170">
        <v>0.03</v>
      </c>
      <c r="Q20" s="135"/>
      <c r="R20" s="134"/>
      <c r="S20" s="137"/>
      <c r="T20" s="171" t="s">
        <v>514</v>
      </c>
      <c r="U20" s="135"/>
      <c r="V20" s="170">
        <v>0.12</v>
      </c>
      <c r="W20" s="135"/>
      <c r="X20" s="136">
        <f>X19*V20</f>
        <v>119999.99999999996</v>
      </c>
      <c r="Y20" s="137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</row>
    <row r="21" spans="1:42" ht="15.75" customHeight="1" x14ac:dyDescent="0.25">
      <c r="A21" s="73"/>
      <c r="B21" s="73"/>
      <c r="C21" s="73"/>
      <c r="D21" s="73"/>
      <c r="E21" s="73"/>
      <c r="F21" s="73"/>
      <c r="G21" s="73"/>
      <c r="H21" s="169" t="s">
        <v>515</v>
      </c>
      <c r="I21" s="135"/>
      <c r="J21" s="172">
        <v>5.2199999999999998E-3</v>
      </c>
      <c r="K21" s="135"/>
      <c r="L21" s="136">
        <f>($V$12-$T$12)*J21</f>
        <v>58725</v>
      </c>
      <c r="M21" s="137"/>
      <c r="N21" s="169" t="s">
        <v>516</v>
      </c>
      <c r="O21" s="135"/>
      <c r="P21" s="170">
        <v>0.02</v>
      </c>
      <c r="Q21" s="135"/>
      <c r="R21" s="134"/>
      <c r="S21" s="137"/>
      <c r="T21" s="171" t="s">
        <v>517</v>
      </c>
      <c r="U21" s="135"/>
      <c r="V21" s="172">
        <v>8.3333333333333301E-2</v>
      </c>
      <c r="W21" s="135"/>
      <c r="X21" s="136">
        <f>$V$12*V21</f>
        <v>999999.99999999965</v>
      </c>
      <c r="Y21" s="137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</row>
    <row r="22" spans="1:42" ht="15.75" customHeight="1" thickBot="1" x14ac:dyDescent="0.3">
      <c r="A22" s="73"/>
      <c r="B22" s="73"/>
      <c r="C22" s="73"/>
      <c r="D22" s="73"/>
      <c r="E22" s="73"/>
      <c r="F22" s="73"/>
      <c r="G22" s="73"/>
      <c r="H22" s="179"/>
      <c r="I22" s="151"/>
      <c r="J22" s="152"/>
      <c r="K22" s="151"/>
      <c r="L22" s="152"/>
      <c r="M22" s="154"/>
      <c r="N22" s="179"/>
      <c r="O22" s="151"/>
      <c r="P22" s="152"/>
      <c r="Q22" s="151"/>
      <c r="R22" s="152"/>
      <c r="S22" s="154"/>
      <c r="T22" s="173" t="s">
        <v>518</v>
      </c>
      <c r="U22" s="151"/>
      <c r="V22" s="174">
        <v>4.1666666666666699E-2</v>
      </c>
      <c r="W22" s="175"/>
      <c r="X22" s="176">
        <f>($V$12-$T$12)*V22</f>
        <v>468750.00000000035</v>
      </c>
      <c r="Y22" s="154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</row>
    <row r="23" spans="1:42" ht="15.75" customHeight="1" thickTop="1" x14ac:dyDescent="0.2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</row>
    <row r="24" spans="1:42" ht="15.75" customHeight="1" x14ac:dyDescent="0.25">
      <c r="A24" s="77"/>
      <c r="B24" s="77"/>
      <c r="C24" s="77"/>
      <c r="D24" s="177" t="s">
        <v>519</v>
      </c>
      <c r="E24" s="178"/>
      <c r="F24" s="178"/>
      <c r="G24" s="178"/>
      <c r="H24" s="77"/>
      <c r="I24" s="77"/>
      <c r="J24" s="177" t="s">
        <v>520</v>
      </c>
      <c r="K24" s="178"/>
      <c r="L24" s="178"/>
      <c r="M24" s="178"/>
      <c r="N24" s="178"/>
      <c r="O24" s="77"/>
      <c r="P24" s="77"/>
      <c r="Q24" s="77"/>
      <c r="R24" s="177" t="s">
        <v>521</v>
      </c>
      <c r="S24" s="178"/>
      <c r="T24" s="178"/>
      <c r="U24" s="178"/>
      <c r="V24" s="77"/>
      <c r="W24" s="77"/>
      <c r="X24" s="78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3"/>
      <c r="AO24" s="73"/>
      <c r="AP24" s="73"/>
    </row>
    <row r="25" spans="1:42" ht="15.75" customHeight="1" x14ac:dyDescent="0.2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</row>
    <row r="26" spans="1:42" ht="15.75" customHeight="1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</row>
    <row r="27" spans="1:42" ht="15.75" customHeight="1" x14ac:dyDescent="0.2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</row>
    <row r="28" spans="1:42" ht="15.75" customHeight="1" x14ac:dyDescent="0.2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</row>
    <row r="29" spans="1:42" ht="15.75" customHeight="1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</row>
    <row r="30" spans="1:42" ht="15.75" customHeight="1" x14ac:dyDescent="0.2">
      <c r="A30" s="73"/>
      <c r="B30" s="180" t="s">
        <v>522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73"/>
      <c r="N30" s="180" t="s">
        <v>523</v>
      </c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</row>
    <row r="31" spans="1:42" ht="15.75" customHeight="1" x14ac:dyDescent="0.25">
      <c r="A31" s="73"/>
      <c r="B31" s="177" t="s">
        <v>524</v>
      </c>
      <c r="C31" s="178"/>
      <c r="D31" s="177" t="s">
        <v>525</v>
      </c>
      <c r="E31" s="178"/>
      <c r="F31" s="178"/>
      <c r="G31" s="177" t="s">
        <v>526</v>
      </c>
      <c r="H31" s="178"/>
      <c r="I31" s="177" t="s">
        <v>527</v>
      </c>
      <c r="J31" s="178"/>
      <c r="K31" s="177" t="s">
        <v>528</v>
      </c>
      <c r="L31" s="178"/>
      <c r="M31" s="73"/>
      <c r="N31" s="177" t="s">
        <v>524</v>
      </c>
      <c r="O31" s="178"/>
      <c r="P31" s="177" t="s">
        <v>525</v>
      </c>
      <c r="Q31" s="178"/>
      <c r="R31" s="178"/>
      <c r="S31" s="177" t="s">
        <v>526</v>
      </c>
      <c r="T31" s="178"/>
      <c r="U31" s="177" t="s">
        <v>527</v>
      </c>
      <c r="V31" s="178"/>
      <c r="W31" s="177" t="s">
        <v>528</v>
      </c>
      <c r="X31" s="178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</row>
    <row r="32" spans="1:42" ht="15.75" customHeight="1" x14ac:dyDescent="0.25">
      <c r="A32" s="73"/>
      <c r="B32" s="177">
        <v>5105</v>
      </c>
      <c r="C32" s="178"/>
      <c r="D32" s="177" t="s">
        <v>529</v>
      </c>
      <c r="E32" s="178"/>
      <c r="F32" s="178"/>
      <c r="G32" s="131"/>
      <c r="H32" s="178"/>
      <c r="I32" s="182">
        <f>G33+G37</f>
        <v>10000000</v>
      </c>
      <c r="J32" s="178"/>
      <c r="K32" s="131"/>
      <c r="L32" s="178"/>
      <c r="M32" s="73"/>
      <c r="N32" s="177">
        <v>2505</v>
      </c>
      <c r="O32" s="178"/>
      <c r="P32" s="177" t="s">
        <v>530</v>
      </c>
      <c r="Q32" s="178"/>
      <c r="R32" s="178"/>
      <c r="S32" s="131"/>
      <c r="T32" s="178"/>
      <c r="U32" s="182">
        <f>S33+S37</f>
        <v>11100000</v>
      </c>
      <c r="V32" s="178"/>
      <c r="W32" s="131"/>
      <c r="X32" s="178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</row>
    <row r="33" spans="1:42" ht="15.75" customHeight="1" x14ac:dyDescent="0.25">
      <c r="A33" s="73"/>
      <c r="B33" s="177">
        <v>510506</v>
      </c>
      <c r="C33" s="178"/>
      <c r="D33" s="177" t="s">
        <v>531</v>
      </c>
      <c r="E33" s="178"/>
      <c r="F33" s="178"/>
      <c r="G33" s="181">
        <f>SUM(G34:H36)</f>
        <v>9500000</v>
      </c>
      <c r="H33" s="178"/>
      <c r="I33" s="131"/>
      <c r="J33" s="178"/>
      <c r="K33" s="131"/>
      <c r="L33" s="178"/>
      <c r="M33" s="73"/>
      <c r="N33" s="177">
        <v>25050501</v>
      </c>
      <c r="O33" s="178"/>
      <c r="P33" s="177" t="s">
        <v>532</v>
      </c>
      <c r="Q33" s="178"/>
      <c r="R33" s="178"/>
      <c r="S33" s="181">
        <f>+SUM(S34:T36)</f>
        <v>9240000</v>
      </c>
      <c r="T33" s="178"/>
      <c r="U33" s="131"/>
      <c r="V33" s="178"/>
      <c r="W33" s="131"/>
      <c r="X33" s="178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</row>
    <row r="34" spans="1:42" ht="15.75" customHeight="1" x14ac:dyDescent="0.2">
      <c r="A34" s="73"/>
      <c r="B34" s="131">
        <v>51050601</v>
      </c>
      <c r="C34" s="178"/>
      <c r="D34" s="131" t="str">
        <f>+F8</f>
        <v>Gerente General</v>
      </c>
      <c r="E34" s="178"/>
      <c r="F34" s="178"/>
      <c r="G34" s="182">
        <f>H8</f>
        <v>4500000</v>
      </c>
      <c r="H34" s="178"/>
      <c r="I34" s="131"/>
      <c r="J34" s="178"/>
      <c r="K34" s="131"/>
      <c r="L34" s="178"/>
      <c r="M34" s="73"/>
      <c r="N34" s="131">
        <v>2505050101</v>
      </c>
      <c r="O34" s="178"/>
      <c r="P34" s="131" t="str">
        <f>D34</f>
        <v>Gerente General</v>
      </c>
      <c r="Q34" s="178"/>
      <c r="R34" s="178"/>
      <c r="S34" s="182">
        <f t="shared" ref="S34:S36" si="11">G56</f>
        <v>4140000</v>
      </c>
      <c r="T34" s="178"/>
      <c r="U34" s="131"/>
      <c r="V34" s="178"/>
      <c r="W34" s="131"/>
      <c r="X34" s="178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</row>
    <row r="35" spans="1:42" ht="15.75" customHeight="1" x14ac:dyDescent="0.2">
      <c r="A35" s="73"/>
      <c r="B35" s="131">
        <v>51050602</v>
      </c>
      <c r="C35" s="178"/>
      <c r="D35" s="131" t="str">
        <f>+F9</f>
        <v>Líder de Tecnología</v>
      </c>
      <c r="E35" s="178"/>
      <c r="F35" s="178"/>
      <c r="G35" s="182">
        <f>L9</f>
        <v>3000000</v>
      </c>
      <c r="H35" s="178"/>
      <c r="I35" s="131"/>
      <c r="J35" s="178"/>
      <c r="K35" s="131"/>
      <c r="L35" s="178"/>
      <c r="M35" s="73"/>
      <c r="N35" s="131">
        <v>2505050102</v>
      </c>
      <c r="O35" s="178"/>
      <c r="P35" s="131" t="str">
        <f t="shared" ref="P35:P36" si="12">D35</f>
        <v>Líder de Tecnología</v>
      </c>
      <c r="Q35" s="178"/>
      <c r="R35" s="178"/>
      <c r="S35" s="182">
        <f t="shared" si="11"/>
        <v>3010000</v>
      </c>
      <c r="T35" s="178"/>
      <c r="U35" s="131"/>
      <c r="V35" s="178"/>
      <c r="W35" s="131"/>
      <c r="X35" s="178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</row>
    <row r="36" spans="1:42" ht="15.75" customHeight="1" x14ac:dyDescent="0.2">
      <c r="A36" s="73"/>
      <c r="B36" s="131">
        <v>51050603</v>
      </c>
      <c r="C36" s="178"/>
      <c r="D36" s="131" t="str">
        <f>+F10</f>
        <v>Técnico de Soporte TI</v>
      </c>
      <c r="E36" s="178"/>
      <c r="F36" s="178"/>
      <c r="G36" s="182">
        <f>H10</f>
        <v>2000000</v>
      </c>
      <c r="H36" s="178"/>
      <c r="I36" s="131"/>
      <c r="J36" s="178"/>
      <c r="K36" s="131"/>
      <c r="L36" s="178"/>
      <c r="M36" s="73"/>
      <c r="N36" s="131">
        <v>2505050103</v>
      </c>
      <c r="O36" s="178"/>
      <c r="P36" s="131" t="str">
        <f t="shared" si="12"/>
        <v>Técnico de Soporte TI</v>
      </c>
      <c r="Q36" s="178"/>
      <c r="R36" s="178"/>
      <c r="S36" s="182">
        <f t="shared" si="11"/>
        <v>2090000.0000000005</v>
      </c>
      <c r="T36" s="178"/>
      <c r="U36" s="131"/>
      <c r="V36" s="178"/>
      <c r="W36" s="131"/>
      <c r="X36" s="178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</row>
    <row r="37" spans="1:42" ht="15.75" customHeight="1" x14ac:dyDescent="0.25">
      <c r="A37" s="73"/>
      <c r="B37" s="177">
        <v>510527</v>
      </c>
      <c r="C37" s="178"/>
      <c r="D37" s="177" t="s">
        <v>533</v>
      </c>
      <c r="E37" s="178"/>
      <c r="F37" s="178"/>
      <c r="G37" s="181">
        <f>SUM(G38:H39)</f>
        <v>500000.00000000006</v>
      </c>
      <c r="H37" s="178"/>
      <c r="I37" s="182"/>
      <c r="J37" s="178"/>
      <c r="K37" s="131"/>
      <c r="L37" s="178"/>
      <c r="M37" s="73"/>
      <c r="N37" s="177">
        <v>25050502</v>
      </c>
      <c r="O37" s="178"/>
      <c r="P37" s="177" t="s">
        <v>534</v>
      </c>
      <c r="Q37" s="178"/>
      <c r="R37" s="178"/>
      <c r="S37" s="181">
        <f>+S38</f>
        <v>1860000</v>
      </c>
      <c r="T37" s="178"/>
      <c r="U37" s="182"/>
      <c r="V37" s="178"/>
      <c r="W37" s="182"/>
      <c r="X37" s="178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</row>
    <row r="38" spans="1:42" ht="15.75" customHeight="1" x14ac:dyDescent="0.2">
      <c r="A38" s="73"/>
      <c r="B38" s="131">
        <v>51052701</v>
      </c>
      <c r="C38" s="178"/>
      <c r="D38" s="131" t="str">
        <f>D35</f>
        <v>Líder de Tecnología</v>
      </c>
      <c r="E38" s="178"/>
      <c r="F38" s="178"/>
      <c r="G38" s="182">
        <f>+T9</f>
        <v>250000.00000000003</v>
      </c>
      <c r="H38" s="178"/>
      <c r="I38" s="131"/>
      <c r="J38" s="178"/>
      <c r="K38" s="131"/>
      <c r="L38" s="178"/>
      <c r="M38" s="73"/>
      <c r="N38" s="131">
        <v>2505050201</v>
      </c>
      <c r="O38" s="178"/>
      <c r="P38" s="131" t="str">
        <f>D60</f>
        <v>Ejecutivo Comercial / Soporte</v>
      </c>
      <c r="Q38" s="178"/>
      <c r="R38" s="178"/>
      <c r="S38" s="182">
        <f>G60</f>
        <v>1860000</v>
      </c>
      <c r="T38" s="178"/>
      <c r="U38" s="131"/>
      <c r="V38" s="178"/>
      <c r="W38" s="131"/>
      <c r="X38" s="178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</row>
    <row r="39" spans="1:42" ht="15.75" customHeight="1" x14ac:dyDescent="0.25">
      <c r="A39" s="73"/>
      <c r="B39" s="131">
        <v>51052702</v>
      </c>
      <c r="C39" s="178"/>
      <c r="D39" s="131" t="str">
        <f>+D36</f>
        <v>Técnico de Soporte TI</v>
      </c>
      <c r="E39" s="178"/>
      <c r="F39" s="178"/>
      <c r="G39" s="182">
        <f>+T10</f>
        <v>250000.00000000003</v>
      </c>
      <c r="H39" s="178"/>
      <c r="I39" s="182"/>
      <c r="J39" s="178"/>
      <c r="K39" s="131"/>
      <c r="L39" s="178"/>
      <c r="M39" s="73"/>
      <c r="N39" s="177">
        <v>1110</v>
      </c>
      <c r="O39" s="178"/>
      <c r="P39" s="177" t="s">
        <v>535</v>
      </c>
      <c r="Q39" s="178"/>
      <c r="R39" s="178"/>
      <c r="S39" s="131"/>
      <c r="T39" s="178"/>
      <c r="U39" s="182"/>
      <c r="V39" s="178"/>
      <c r="W39" s="182">
        <f>S40</f>
        <v>11100000</v>
      </c>
      <c r="X39" s="178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</row>
    <row r="40" spans="1:42" ht="15.75" customHeight="1" x14ac:dyDescent="0.2">
      <c r="A40" s="73"/>
      <c r="B40" s="131"/>
      <c r="C40" s="178"/>
      <c r="D40" s="131"/>
      <c r="E40" s="178"/>
      <c r="F40" s="178"/>
      <c r="G40" s="182"/>
      <c r="H40" s="178"/>
      <c r="I40" s="131"/>
      <c r="J40" s="178"/>
      <c r="K40" s="131"/>
      <c r="L40" s="178"/>
      <c r="M40" s="73"/>
      <c r="N40" s="131">
        <v>11100507</v>
      </c>
      <c r="O40" s="178"/>
      <c r="P40" s="131" t="s">
        <v>536</v>
      </c>
      <c r="Q40" s="178"/>
      <c r="R40" s="178"/>
      <c r="S40" s="182">
        <f>U32</f>
        <v>11100000</v>
      </c>
      <c r="T40" s="178"/>
      <c r="U40" s="131"/>
      <c r="V40" s="178"/>
      <c r="W40" s="131"/>
      <c r="X40" s="178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</row>
    <row r="41" spans="1:42" ht="15.75" customHeight="1" x14ac:dyDescent="0.2">
      <c r="A41" s="73"/>
      <c r="B41" s="131"/>
      <c r="C41" s="178"/>
      <c r="D41" s="131"/>
      <c r="E41" s="178"/>
      <c r="F41" s="178"/>
      <c r="G41" s="182"/>
      <c r="H41" s="178"/>
      <c r="I41" s="131"/>
      <c r="J41" s="178"/>
      <c r="K41" s="131"/>
      <c r="L41" s="178"/>
      <c r="M41" s="73"/>
      <c r="N41" s="131"/>
      <c r="O41" s="178"/>
      <c r="P41" s="131"/>
      <c r="Q41" s="178"/>
      <c r="R41" s="178"/>
      <c r="S41" s="182"/>
      <c r="T41" s="178"/>
      <c r="U41" s="131"/>
      <c r="V41" s="178"/>
      <c r="W41" s="182"/>
      <c r="X41" s="178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</row>
    <row r="42" spans="1:42" ht="15.75" customHeight="1" x14ac:dyDescent="0.25">
      <c r="A42" s="73"/>
      <c r="B42" s="177">
        <v>5205</v>
      </c>
      <c r="C42" s="178"/>
      <c r="D42" s="177" t="s">
        <v>529</v>
      </c>
      <c r="E42" s="178"/>
      <c r="F42" s="178"/>
      <c r="G42" s="131"/>
      <c r="H42" s="178"/>
      <c r="I42" s="182">
        <f>G43+G45</f>
        <v>2000000</v>
      </c>
      <c r="J42" s="178"/>
      <c r="K42" s="131"/>
      <c r="L42" s="178"/>
      <c r="M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</row>
    <row r="43" spans="1:42" ht="15.75" customHeight="1" x14ac:dyDescent="0.25">
      <c r="A43" s="73"/>
      <c r="B43" s="177">
        <v>520506</v>
      </c>
      <c r="C43" s="178"/>
      <c r="D43" s="177" t="s">
        <v>531</v>
      </c>
      <c r="E43" s="178"/>
      <c r="F43" s="178"/>
      <c r="G43" s="181">
        <f>SUM(G44:H44)</f>
        <v>1750000</v>
      </c>
      <c r="H43" s="178"/>
      <c r="I43" s="131"/>
      <c r="J43" s="178"/>
      <c r="K43" s="131"/>
      <c r="L43" s="178"/>
      <c r="M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</row>
    <row r="44" spans="1:42" ht="15.75" customHeight="1" x14ac:dyDescent="0.25">
      <c r="A44" s="73"/>
      <c r="B44" s="131">
        <v>52050601</v>
      </c>
      <c r="C44" s="178"/>
      <c r="D44" s="182" t="str">
        <f>+F11</f>
        <v>Ejecutivo Comercial / Soporte</v>
      </c>
      <c r="E44" s="178"/>
      <c r="F44" s="178"/>
      <c r="G44" s="182">
        <f>L11</f>
        <v>1750000</v>
      </c>
      <c r="H44" s="178"/>
      <c r="I44" s="131"/>
      <c r="J44" s="178"/>
      <c r="K44" s="131"/>
      <c r="L44" s="178"/>
      <c r="M44" s="73"/>
      <c r="N44" s="177"/>
      <c r="O44" s="178"/>
      <c r="P44" s="177"/>
      <c r="Q44" s="178"/>
      <c r="R44" s="178"/>
      <c r="S44" s="131"/>
      <c r="T44" s="178"/>
      <c r="U44" s="131"/>
      <c r="V44" s="178"/>
      <c r="W44" s="182"/>
      <c r="X44" s="178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</row>
    <row r="45" spans="1:42" ht="15.75" customHeight="1" x14ac:dyDescent="0.25">
      <c r="A45" s="73"/>
      <c r="B45" s="177">
        <v>520527</v>
      </c>
      <c r="C45" s="178"/>
      <c r="D45" s="177" t="s">
        <v>533</v>
      </c>
      <c r="E45" s="178"/>
      <c r="F45" s="178"/>
      <c r="G45" s="181">
        <f>SUM(G46:H46)</f>
        <v>250000.00000000003</v>
      </c>
      <c r="H45" s="178"/>
      <c r="I45" s="131"/>
      <c r="J45" s="178"/>
      <c r="K45" s="131"/>
      <c r="L45" s="178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</row>
    <row r="46" spans="1:42" ht="15.75" customHeight="1" x14ac:dyDescent="0.2">
      <c r="A46" s="73"/>
      <c r="B46" s="131">
        <v>52052701</v>
      </c>
      <c r="C46" s="178"/>
      <c r="D46" s="131" t="str">
        <f>D44</f>
        <v>Ejecutivo Comercial / Soporte</v>
      </c>
      <c r="E46" s="178"/>
      <c r="F46" s="178"/>
      <c r="G46" s="182">
        <f>T11</f>
        <v>250000.00000000003</v>
      </c>
      <c r="H46" s="178"/>
      <c r="I46" s="131"/>
      <c r="J46" s="178"/>
      <c r="K46" s="131"/>
      <c r="L46" s="178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</row>
    <row r="47" spans="1:42" ht="15.75" customHeight="1" x14ac:dyDescent="0.25">
      <c r="A47" s="73"/>
      <c r="B47" s="177">
        <v>2365</v>
      </c>
      <c r="C47" s="178"/>
      <c r="D47" s="177" t="s">
        <v>502</v>
      </c>
      <c r="E47" s="178"/>
      <c r="F47" s="178"/>
      <c r="G47" s="131"/>
      <c r="H47" s="178"/>
      <c r="I47" s="131"/>
      <c r="J47" s="178"/>
      <c r="K47" s="182">
        <f>G48</f>
        <v>0</v>
      </c>
      <c r="L47" s="178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</row>
    <row r="48" spans="1:42" ht="15.75" customHeight="1" x14ac:dyDescent="0.2">
      <c r="A48" s="73"/>
      <c r="B48" s="131">
        <v>236505</v>
      </c>
      <c r="C48" s="178"/>
      <c r="D48" s="131" t="s">
        <v>538</v>
      </c>
      <c r="E48" s="178"/>
      <c r="F48" s="178"/>
      <c r="G48" s="182">
        <f>AD8</f>
        <v>0</v>
      </c>
      <c r="H48" s="178"/>
      <c r="I48" s="131"/>
      <c r="J48" s="178"/>
      <c r="K48" s="131"/>
      <c r="L48" s="178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</row>
    <row r="49" spans="1:42" ht="15.75" customHeight="1" x14ac:dyDescent="0.25">
      <c r="A49" s="73"/>
      <c r="B49" s="177">
        <v>2370</v>
      </c>
      <c r="C49" s="178"/>
      <c r="D49" s="177" t="s">
        <v>539</v>
      </c>
      <c r="E49" s="178"/>
      <c r="F49" s="178"/>
      <c r="G49" s="131"/>
      <c r="H49" s="178"/>
      <c r="I49" s="131"/>
      <c r="J49" s="178"/>
      <c r="K49" s="182">
        <f>G50+G51</f>
        <v>450000</v>
      </c>
      <c r="L49" s="178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</row>
    <row r="50" spans="1:42" ht="15.75" customHeight="1" x14ac:dyDescent="0.2">
      <c r="A50" s="73"/>
      <c r="B50" s="131">
        <v>237005</v>
      </c>
      <c r="C50" s="178"/>
      <c r="D50" s="131" t="s">
        <v>499</v>
      </c>
      <c r="E50" s="178"/>
      <c r="F50" s="178"/>
      <c r="G50" s="182">
        <f>X12</f>
        <v>450000</v>
      </c>
      <c r="H50" s="178"/>
      <c r="I50" s="131"/>
      <c r="J50" s="178"/>
      <c r="K50" s="131"/>
      <c r="L50" s="178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</row>
    <row r="51" spans="1:42" ht="15.75" customHeight="1" x14ac:dyDescent="0.2">
      <c r="A51" s="73"/>
      <c r="B51" s="131">
        <v>237045</v>
      </c>
      <c r="C51" s="178"/>
      <c r="D51" s="131" t="s">
        <v>501</v>
      </c>
      <c r="E51" s="178"/>
      <c r="F51" s="178"/>
      <c r="G51" s="182">
        <f>AB12</f>
        <v>0</v>
      </c>
      <c r="H51" s="178"/>
      <c r="I51" s="131"/>
      <c r="J51" s="178"/>
      <c r="K51" s="131"/>
      <c r="L51" s="178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</row>
    <row r="52" spans="1:42" ht="15.75" customHeight="1" x14ac:dyDescent="0.25">
      <c r="A52" s="73"/>
      <c r="B52" s="177">
        <v>2380</v>
      </c>
      <c r="C52" s="178"/>
      <c r="D52" s="177" t="s">
        <v>540</v>
      </c>
      <c r="E52" s="178"/>
      <c r="F52" s="178"/>
      <c r="G52" s="131"/>
      <c r="H52" s="178"/>
      <c r="I52" s="131"/>
      <c r="J52" s="178"/>
      <c r="K52" s="182">
        <f>G53</f>
        <v>450000</v>
      </c>
      <c r="L52" s="178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</row>
    <row r="53" spans="1:42" ht="15.75" customHeight="1" x14ac:dyDescent="0.2">
      <c r="A53" s="73"/>
      <c r="B53" s="131">
        <v>238030</v>
      </c>
      <c r="C53" s="178"/>
      <c r="D53" s="131" t="s">
        <v>500</v>
      </c>
      <c r="E53" s="178"/>
      <c r="F53" s="178"/>
      <c r="G53" s="182">
        <f>Z12</f>
        <v>450000</v>
      </c>
      <c r="H53" s="178"/>
      <c r="I53" s="131"/>
      <c r="J53" s="178"/>
      <c r="K53" s="131"/>
      <c r="L53" s="178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</row>
    <row r="54" spans="1:42" ht="15.75" customHeight="1" x14ac:dyDescent="0.25">
      <c r="A54" s="73"/>
      <c r="B54" s="177">
        <v>2505</v>
      </c>
      <c r="C54" s="178"/>
      <c r="D54" s="177" t="s">
        <v>530</v>
      </c>
      <c r="E54" s="178"/>
      <c r="F54" s="178"/>
      <c r="G54" s="131"/>
      <c r="H54" s="178"/>
      <c r="I54" s="131"/>
      <c r="J54" s="178"/>
      <c r="K54" s="182">
        <f>G55+G59</f>
        <v>11100000</v>
      </c>
      <c r="L54" s="178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</row>
    <row r="55" spans="1:42" ht="15.75" customHeight="1" x14ac:dyDescent="0.25">
      <c r="A55" s="73"/>
      <c r="B55" s="177">
        <v>25050501</v>
      </c>
      <c r="C55" s="178"/>
      <c r="D55" s="177" t="s">
        <v>541</v>
      </c>
      <c r="E55" s="178"/>
      <c r="F55" s="178"/>
      <c r="G55" s="181">
        <f>SUM(G56+G57+G58)</f>
        <v>9240000</v>
      </c>
      <c r="H55" s="178"/>
      <c r="I55" s="131"/>
      <c r="J55" s="178"/>
      <c r="K55" s="131"/>
      <c r="L55" s="178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</row>
    <row r="56" spans="1:42" ht="15.75" customHeight="1" x14ac:dyDescent="0.2">
      <c r="A56" s="73"/>
      <c r="B56" s="131">
        <v>2505050101</v>
      </c>
      <c r="C56" s="178"/>
      <c r="D56" s="131" t="str">
        <f>D34</f>
        <v>Gerente General</v>
      </c>
      <c r="E56" s="178"/>
      <c r="F56" s="178"/>
      <c r="G56" s="182">
        <f>AH8</f>
        <v>4140000</v>
      </c>
      <c r="H56" s="178"/>
      <c r="I56" s="131"/>
      <c r="J56" s="178"/>
      <c r="K56" s="131"/>
      <c r="L56" s="178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</row>
    <row r="57" spans="1:42" ht="15.75" customHeight="1" x14ac:dyDescent="0.2">
      <c r="A57" s="73"/>
      <c r="B57" s="131">
        <v>2505050102</v>
      </c>
      <c r="C57" s="178"/>
      <c r="D57" s="131" t="str">
        <f>D35</f>
        <v>Líder de Tecnología</v>
      </c>
      <c r="E57" s="178"/>
      <c r="F57" s="178"/>
      <c r="G57" s="182">
        <f>AH9</f>
        <v>3010000</v>
      </c>
      <c r="H57" s="178"/>
      <c r="I57" s="131"/>
      <c r="J57" s="178"/>
      <c r="K57" s="131"/>
      <c r="L57" s="178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</row>
    <row r="58" spans="1:42" ht="15.75" customHeight="1" x14ac:dyDescent="0.2">
      <c r="A58" s="73"/>
      <c r="B58" s="131">
        <v>2505050103</v>
      </c>
      <c r="C58" s="178"/>
      <c r="D58" s="131" t="str">
        <f>D36</f>
        <v>Técnico de Soporte TI</v>
      </c>
      <c r="E58" s="178"/>
      <c r="F58" s="178"/>
      <c r="G58" s="182">
        <f>AH10</f>
        <v>2090000.0000000005</v>
      </c>
      <c r="H58" s="178"/>
      <c r="I58" s="131"/>
      <c r="J58" s="178"/>
      <c r="K58" s="131"/>
      <c r="L58" s="178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</row>
    <row r="59" spans="1:42" ht="15.75" customHeight="1" x14ac:dyDescent="0.25">
      <c r="A59" s="73"/>
      <c r="B59" s="177">
        <v>25050502</v>
      </c>
      <c r="C59" s="178"/>
      <c r="D59" s="177" t="s">
        <v>534</v>
      </c>
      <c r="E59" s="178"/>
      <c r="F59" s="178"/>
      <c r="G59" s="181">
        <f>SUM(G60:H60)</f>
        <v>1860000</v>
      </c>
      <c r="H59" s="178"/>
      <c r="I59" s="131"/>
      <c r="J59" s="178"/>
      <c r="K59" s="131"/>
      <c r="L59" s="178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</row>
    <row r="60" spans="1:42" ht="15.75" customHeight="1" x14ac:dyDescent="0.2">
      <c r="A60" s="73"/>
      <c r="B60" s="131">
        <v>2505050201</v>
      </c>
      <c r="C60" s="178"/>
      <c r="D60" s="131" t="str">
        <f>D46</f>
        <v>Ejecutivo Comercial / Soporte</v>
      </c>
      <c r="E60" s="178"/>
      <c r="F60" s="178"/>
      <c r="G60" s="182">
        <f>AH11</f>
        <v>1860000</v>
      </c>
      <c r="H60" s="178"/>
      <c r="I60" s="131"/>
      <c r="J60" s="178"/>
      <c r="K60" s="131"/>
      <c r="L60" s="178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</row>
    <row r="61" spans="1:42" ht="15.75" customHeight="1" x14ac:dyDescent="0.2">
      <c r="A61" s="73"/>
      <c r="B61" s="131"/>
      <c r="C61" s="178"/>
      <c r="D61" s="131"/>
      <c r="E61" s="178"/>
      <c r="F61" s="178"/>
      <c r="G61" s="131"/>
      <c r="H61" s="178"/>
      <c r="I61" s="131"/>
      <c r="J61" s="178"/>
      <c r="K61" s="131"/>
      <c r="L61" s="178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</row>
    <row r="62" spans="1:42" ht="15.75" customHeight="1" x14ac:dyDescent="0.25">
      <c r="A62" s="73"/>
      <c r="B62" s="131"/>
      <c r="C62" s="178"/>
      <c r="D62" s="177" t="s">
        <v>542</v>
      </c>
      <c r="E62" s="178"/>
      <c r="F62" s="178"/>
      <c r="G62" s="131"/>
      <c r="H62" s="178"/>
      <c r="I62" s="181">
        <f>SUM(I32:J61)</f>
        <v>12000000</v>
      </c>
      <c r="J62" s="178"/>
      <c r="K62" s="181">
        <f>SUM(K32:L61)</f>
        <v>12000000</v>
      </c>
      <c r="L62" s="178"/>
      <c r="M62" s="73"/>
      <c r="N62" s="76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</row>
    <row r="63" spans="1:42" ht="15.75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</row>
    <row r="64" spans="1:42" ht="15.75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</row>
    <row r="65" spans="1:42" ht="15.75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</row>
    <row r="66" spans="1:42" ht="15.75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</row>
    <row r="67" spans="1:42" ht="15.75" customHeight="1" x14ac:dyDescent="0.2">
      <c r="A67" s="73"/>
      <c r="B67" s="180" t="s">
        <v>522</v>
      </c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73"/>
      <c r="N67" s="180" t="s">
        <v>543</v>
      </c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</row>
    <row r="68" spans="1:42" ht="15.75" customHeight="1" x14ac:dyDescent="0.25">
      <c r="A68" s="73"/>
      <c r="B68" s="177" t="s">
        <v>524</v>
      </c>
      <c r="C68" s="178"/>
      <c r="D68" s="177" t="s">
        <v>525</v>
      </c>
      <c r="E68" s="178"/>
      <c r="F68" s="178"/>
      <c r="G68" s="177" t="s">
        <v>526</v>
      </c>
      <c r="H68" s="178"/>
      <c r="I68" s="177" t="s">
        <v>527</v>
      </c>
      <c r="J68" s="178"/>
      <c r="K68" s="177" t="s">
        <v>528</v>
      </c>
      <c r="L68" s="178"/>
      <c r="M68" s="73"/>
      <c r="N68" s="177" t="s">
        <v>524</v>
      </c>
      <c r="O68" s="178"/>
      <c r="P68" s="177" t="s">
        <v>525</v>
      </c>
      <c r="Q68" s="178"/>
      <c r="R68" s="178"/>
      <c r="S68" s="177" t="s">
        <v>526</v>
      </c>
      <c r="T68" s="178"/>
      <c r="U68" s="177" t="s">
        <v>527</v>
      </c>
      <c r="V68" s="178"/>
      <c r="W68" s="177" t="s">
        <v>528</v>
      </c>
      <c r="X68" s="178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</row>
    <row r="69" spans="1:42" ht="15.75" customHeight="1" x14ac:dyDescent="0.25">
      <c r="A69" s="73"/>
      <c r="B69" s="177">
        <v>5105</v>
      </c>
      <c r="C69" s="178"/>
      <c r="D69" s="177" t="s">
        <v>544</v>
      </c>
      <c r="E69" s="178"/>
      <c r="F69" s="178"/>
      <c r="G69" s="131"/>
      <c r="H69" s="178"/>
      <c r="I69" s="182">
        <f>SUM(G70:H77)</f>
        <v>3732089.9999999995</v>
      </c>
      <c r="J69" s="178"/>
      <c r="K69" s="131"/>
      <c r="L69" s="178"/>
      <c r="M69" s="73"/>
      <c r="N69" s="131">
        <v>2370</v>
      </c>
      <c r="O69" s="178"/>
      <c r="P69" s="131" t="s">
        <v>545</v>
      </c>
      <c r="Q69" s="178"/>
      <c r="R69" s="178"/>
      <c r="S69" s="131"/>
      <c r="T69" s="178"/>
      <c r="U69" s="182">
        <f>SUM(S70:T72)</f>
        <v>958725</v>
      </c>
      <c r="V69" s="178"/>
      <c r="W69" s="182"/>
      <c r="X69" s="178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</row>
    <row r="70" spans="1:42" ht="15.75" customHeight="1" x14ac:dyDescent="0.2">
      <c r="A70" s="73"/>
      <c r="B70" s="131">
        <v>510530</v>
      </c>
      <c r="C70" s="178"/>
      <c r="D70" s="131" t="s">
        <v>511</v>
      </c>
      <c r="E70" s="178"/>
      <c r="F70" s="178"/>
      <c r="G70" s="182">
        <f>SUM(V8:W10)*V19</f>
        <v>833333.33333333302</v>
      </c>
      <c r="H70" s="178"/>
      <c r="I70" s="131"/>
      <c r="J70" s="178"/>
      <c r="K70" s="131"/>
      <c r="L70" s="178"/>
      <c r="M70" s="73"/>
      <c r="N70" s="131">
        <v>237005</v>
      </c>
      <c r="O70" s="178"/>
      <c r="P70" s="131" t="s">
        <v>499</v>
      </c>
      <c r="Q70" s="178"/>
      <c r="R70" s="178"/>
      <c r="S70" s="182">
        <f>+G50</f>
        <v>450000</v>
      </c>
      <c r="T70" s="178"/>
      <c r="U70" s="131"/>
      <c r="V70" s="178"/>
      <c r="W70" s="131"/>
      <c r="X70" s="178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</row>
    <row r="71" spans="1:42" ht="15.75" customHeight="1" x14ac:dyDescent="0.2">
      <c r="A71" s="73"/>
      <c r="B71" s="131">
        <v>510533</v>
      </c>
      <c r="C71" s="178"/>
      <c r="D71" s="131" t="s">
        <v>546</v>
      </c>
      <c r="E71" s="178"/>
      <c r="F71" s="178"/>
      <c r="G71" s="182">
        <f>G70*V20</f>
        <v>99999.999999999956</v>
      </c>
      <c r="H71" s="178"/>
      <c r="I71" s="131"/>
      <c r="J71" s="178"/>
      <c r="K71" s="131"/>
      <c r="L71" s="178"/>
      <c r="M71" s="73"/>
      <c r="N71" s="131">
        <v>237006</v>
      </c>
      <c r="O71" s="178"/>
      <c r="P71" s="131" t="s">
        <v>515</v>
      </c>
      <c r="Q71" s="178"/>
      <c r="R71" s="178"/>
      <c r="S71" s="182">
        <f>G74+G83</f>
        <v>58725</v>
      </c>
      <c r="T71" s="178"/>
      <c r="U71" s="131"/>
      <c r="V71" s="178"/>
      <c r="W71" s="131"/>
      <c r="X71" s="178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</row>
    <row r="72" spans="1:42" ht="15.75" customHeight="1" x14ac:dyDescent="0.2">
      <c r="A72" s="73"/>
      <c r="B72" s="131">
        <v>510536</v>
      </c>
      <c r="C72" s="178"/>
      <c r="D72" s="131" t="s">
        <v>547</v>
      </c>
      <c r="E72" s="178"/>
      <c r="F72" s="178"/>
      <c r="G72" s="182">
        <f>SUM(V8:W10)*V21</f>
        <v>833333.33333333302</v>
      </c>
      <c r="H72" s="178"/>
      <c r="I72" s="131"/>
      <c r="J72" s="178"/>
      <c r="K72" s="131"/>
      <c r="L72" s="178"/>
      <c r="M72" s="73"/>
      <c r="N72" s="131">
        <v>237010</v>
      </c>
      <c r="O72" s="178"/>
      <c r="P72" s="131" t="s">
        <v>548</v>
      </c>
      <c r="Q72" s="178"/>
      <c r="R72" s="178"/>
      <c r="S72" s="182">
        <f>G90</f>
        <v>450000</v>
      </c>
      <c r="T72" s="178"/>
      <c r="U72" s="131"/>
      <c r="V72" s="178"/>
      <c r="W72" s="131"/>
      <c r="X72" s="178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</row>
    <row r="73" spans="1:42" ht="15.75" customHeight="1" x14ac:dyDescent="0.25">
      <c r="A73" s="73"/>
      <c r="B73" s="131">
        <v>510539</v>
      </c>
      <c r="C73" s="178"/>
      <c r="D73" s="131" t="s">
        <v>518</v>
      </c>
      <c r="E73" s="178"/>
      <c r="F73" s="178"/>
      <c r="G73" s="182">
        <f>SUM(V8+V9+V10-T9-T10)*V22</f>
        <v>395833.33333333366</v>
      </c>
      <c r="H73" s="178"/>
      <c r="I73" s="131"/>
      <c r="J73" s="178"/>
      <c r="K73" s="131"/>
      <c r="L73" s="178"/>
      <c r="M73" s="73"/>
      <c r="N73" s="177"/>
      <c r="O73" s="177"/>
      <c r="P73" s="177"/>
      <c r="Q73" s="177"/>
      <c r="R73" s="177"/>
      <c r="S73" s="183"/>
      <c r="T73" s="183"/>
      <c r="U73" s="182"/>
      <c r="V73" s="182"/>
      <c r="W73" s="182"/>
      <c r="X73" s="182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</row>
    <row r="74" spans="1:42" ht="15.75" customHeight="1" x14ac:dyDescent="0.2">
      <c r="A74" s="73"/>
      <c r="B74" s="131">
        <v>510568</v>
      </c>
      <c r="C74" s="178"/>
      <c r="D74" s="131" t="s">
        <v>515</v>
      </c>
      <c r="E74" s="178"/>
      <c r="F74" s="178"/>
      <c r="G74" s="182">
        <f>SUM(V8+V9+V10-T9-T10)*J21</f>
        <v>49590</v>
      </c>
      <c r="H74" s="178"/>
      <c r="I74" s="131"/>
      <c r="J74" s="178"/>
      <c r="K74" s="131"/>
      <c r="L74" s="178"/>
      <c r="M74" s="76"/>
      <c r="N74" s="131">
        <v>2380</v>
      </c>
      <c r="O74" s="131"/>
      <c r="P74" s="131" t="s">
        <v>549</v>
      </c>
      <c r="Q74" s="131"/>
      <c r="R74" s="131"/>
      <c r="S74" s="182"/>
      <c r="T74" s="182"/>
      <c r="U74" s="182">
        <f>S75</f>
        <v>1800000</v>
      </c>
      <c r="V74" s="182"/>
      <c r="W74" s="131"/>
      <c r="X74" s="131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</row>
    <row r="75" spans="1:42" ht="15.75" customHeight="1" x14ac:dyDescent="0.25">
      <c r="A75" s="73"/>
      <c r="B75" s="131">
        <v>510569</v>
      </c>
      <c r="C75" s="178"/>
      <c r="D75" s="131" t="s">
        <v>499</v>
      </c>
      <c r="E75" s="178"/>
      <c r="F75" s="178"/>
      <c r="G75" s="182"/>
      <c r="H75" s="178"/>
      <c r="I75" s="131"/>
      <c r="J75" s="178"/>
      <c r="K75" s="131"/>
      <c r="L75" s="178"/>
      <c r="M75" s="73"/>
      <c r="N75" s="177">
        <v>238030</v>
      </c>
      <c r="O75" s="177"/>
      <c r="P75" s="177" t="s">
        <v>500</v>
      </c>
      <c r="Q75" s="177"/>
      <c r="R75" s="177"/>
      <c r="S75" s="182">
        <f>G50+G92</f>
        <v>1800000</v>
      </c>
      <c r="T75" s="182"/>
      <c r="U75" s="182"/>
      <c r="V75" s="182"/>
      <c r="W75" s="182"/>
      <c r="X75" s="182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</row>
    <row r="76" spans="1:42" ht="15.75" customHeight="1" x14ac:dyDescent="0.2">
      <c r="A76" s="73"/>
      <c r="B76" s="131">
        <v>510570</v>
      </c>
      <c r="C76" s="178"/>
      <c r="D76" s="131" t="s">
        <v>500</v>
      </c>
      <c r="E76" s="178"/>
      <c r="F76" s="178"/>
      <c r="G76" s="182">
        <f>(V8+V9+V10-T9-T10)*J20</f>
        <v>1140000</v>
      </c>
      <c r="H76" s="178"/>
      <c r="I76" s="131"/>
      <c r="J76" s="178"/>
      <c r="K76" s="131"/>
      <c r="L76" s="178"/>
      <c r="M76" s="73"/>
      <c r="N76" s="131">
        <v>2335</v>
      </c>
      <c r="O76" s="131"/>
      <c r="P76" s="131" t="s">
        <v>550</v>
      </c>
      <c r="Q76" s="131"/>
      <c r="R76" s="131"/>
      <c r="S76" s="182"/>
      <c r="T76" s="182"/>
      <c r="U76" s="131"/>
      <c r="V76" s="131"/>
      <c r="W76" s="182">
        <f>U69+U74</f>
        <v>2758725</v>
      </c>
      <c r="X76" s="182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</row>
    <row r="77" spans="1:42" ht="15.75" customHeight="1" x14ac:dyDescent="0.25">
      <c r="A77" s="73"/>
      <c r="B77" s="131">
        <v>510572</v>
      </c>
      <c r="C77" s="178"/>
      <c r="D77" s="131" t="s">
        <v>548</v>
      </c>
      <c r="E77" s="178"/>
      <c r="F77" s="178"/>
      <c r="G77" s="182">
        <f>SUM(V8+V9+V10-T9-T10)*P19</f>
        <v>380000</v>
      </c>
      <c r="H77" s="178"/>
      <c r="I77" s="131"/>
      <c r="J77" s="178"/>
      <c r="K77" s="131"/>
      <c r="L77" s="178"/>
      <c r="M77" s="73"/>
      <c r="N77" s="177">
        <v>23350505</v>
      </c>
      <c r="O77" s="177"/>
      <c r="P77" s="177" t="s">
        <v>551</v>
      </c>
      <c r="Q77" s="177"/>
      <c r="R77" s="177"/>
      <c r="S77" s="182">
        <f>W76</f>
        <v>2758725</v>
      </c>
      <c r="T77" s="182"/>
      <c r="U77" s="131"/>
      <c r="V77" s="131"/>
      <c r="W77" s="182"/>
      <c r="X77" s="182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</row>
    <row r="78" spans="1:42" ht="15.75" customHeight="1" x14ac:dyDescent="0.25">
      <c r="A78" s="73"/>
      <c r="B78" s="177">
        <v>5205</v>
      </c>
      <c r="C78" s="178"/>
      <c r="D78" s="177" t="s">
        <v>552</v>
      </c>
      <c r="E78" s="178"/>
      <c r="F78" s="178"/>
      <c r="G78" s="131"/>
      <c r="H78" s="178"/>
      <c r="I78" s="182">
        <f>SUM(G79:H86)</f>
        <v>715385</v>
      </c>
      <c r="J78" s="178"/>
      <c r="K78" s="131"/>
      <c r="L78" s="178"/>
      <c r="M78" s="73"/>
      <c r="N78" s="177"/>
      <c r="O78" s="178"/>
      <c r="P78" s="177" t="s">
        <v>537</v>
      </c>
      <c r="Q78" s="178"/>
      <c r="R78" s="178"/>
      <c r="S78" s="131"/>
      <c r="T78" s="178"/>
      <c r="U78" s="181">
        <f>SUM(U69:V77)</f>
        <v>2758725</v>
      </c>
      <c r="V78" s="178"/>
      <c r="W78" s="181">
        <f>SUM(W69:X77)</f>
        <v>2758725</v>
      </c>
      <c r="X78" s="178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</row>
    <row r="79" spans="1:42" ht="15.75" customHeight="1" x14ac:dyDescent="0.25">
      <c r="A79" s="73"/>
      <c r="B79" s="131">
        <v>520530</v>
      </c>
      <c r="C79" s="178"/>
      <c r="D79" s="131" t="s">
        <v>511</v>
      </c>
      <c r="E79" s="178"/>
      <c r="F79" s="178"/>
      <c r="G79" s="182">
        <f>(V11)*V19</f>
        <v>166666.6666666666</v>
      </c>
      <c r="H79" s="178"/>
      <c r="I79" s="131"/>
      <c r="J79" s="178"/>
      <c r="K79" s="131"/>
      <c r="L79" s="178"/>
      <c r="M79" s="73"/>
      <c r="N79" s="177"/>
      <c r="O79" s="178"/>
      <c r="P79" s="177"/>
      <c r="Q79" s="178"/>
      <c r="R79" s="178"/>
      <c r="S79" s="131"/>
      <c r="T79" s="178"/>
      <c r="U79" s="131"/>
      <c r="V79" s="178"/>
      <c r="W79" s="182"/>
      <c r="X79" s="178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</row>
    <row r="80" spans="1:42" ht="15.75" customHeight="1" x14ac:dyDescent="0.2">
      <c r="A80" s="73"/>
      <c r="B80" s="131">
        <v>520533</v>
      </c>
      <c r="C80" s="178"/>
      <c r="D80" s="131" t="s">
        <v>546</v>
      </c>
      <c r="E80" s="178"/>
      <c r="F80" s="178"/>
      <c r="G80" s="182">
        <f>G79*V20</f>
        <v>19999.999999999993</v>
      </c>
      <c r="H80" s="178"/>
      <c r="I80" s="131"/>
      <c r="J80" s="178"/>
      <c r="K80" s="131"/>
      <c r="L80" s="178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</row>
    <row r="81" spans="1:42" ht="15.75" customHeight="1" x14ac:dyDescent="0.2">
      <c r="A81" s="73"/>
      <c r="B81" s="131">
        <v>520536</v>
      </c>
      <c r="C81" s="178"/>
      <c r="D81" s="131" t="s">
        <v>547</v>
      </c>
      <c r="E81" s="178"/>
      <c r="F81" s="178"/>
      <c r="G81" s="182">
        <f>SUM(V11:W11)*V21</f>
        <v>166666.6666666666</v>
      </c>
      <c r="H81" s="178"/>
      <c r="I81" s="131"/>
      <c r="J81" s="178"/>
      <c r="K81" s="131"/>
      <c r="L81" s="178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</row>
    <row r="82" spans="1:42" ht="15.75" customHeight="1" x14ac:dyDescent="0.2">
      <c r="A82" s="73"/>
      <c r="B82" s="131">
        <v>520539</v>
      </c>
      <c r="C82" s="178"/>
      <c r="D82" s="131" t="s">
        <v>518</v>
      </c>
      <c r="E82" s="178"/>
      <c r="F82" s="178"/>
      <c r="G82" s="182">
        <f>SUM(V11-T11)*V22</f>
        <v>72916.66666666673</v>
      </c>
      <c r="H82" s="178"/>
      <c r="I82" s="131"/>
      <c r="J82" s="178"/>
      <c r="K82" s="182"/>
      <c r="L82" s="178"/>
      <c r="M82" s="76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</row>
    <row r="83" spans="1:42" ht="15.75" customHeight="1" x14ac:dyDescent="0.2">
      <c r="A83" s="73"/>
      <c r="B83" s="131">
        <v>520568</v>
      </c>
      <c r="C83" s="178"/>
      <c r="D83" s="131" t="s">
        <v>515</v>
      </c>
      <c r="E83" s="178"/>
      <c r="F83" s="178"/>
      <c r="G83" s="182">
        <f>SUM(V11-T11)*J21</f>
        <v>9135</v>
      </c>
      <c r="H83" s="178"/>
      <c r="I83" s="131"/>
      <c r="J83" s="178"/>
      <c r="K83" s="131"/>
      <c r="L83" s="178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</row>
    <row r="84" spans="1:42" ht="15.75" customHeight="1" x14ac:dyDescent="0.2">
      <c r="A84" s="73"/>
      <c r="B84" s="131">
        <v>520569</v>
      </c>
      <c r="C84" s="178"/>
      <c r="D84" s="131" t="s">
        <v>499</v>
      </c>
      <c r="E84" s="178"/>
      <c r="F84" s="178"/>
      <c r="G84" s="182"/>
      <c r="H84" s="178"/>
      <c r="I84" s="131"/>
      <c r="J84" s="178"/>
      <c r="K84" s="131"/>
      <c r="L84" s="178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</row>
    <row r="85" spans="1:42" ht="15.75" customHeight="1" x14ac:dyDescent="0.2">
      <c r="A85" s="73"/>
      <c r="B85" s="131">
        <v>520570</v>
      </c>
      <c r="C85" s="178"/>
      <c r="D85" s="131" t="s">
        <v>500</v>
      </c>
      <c r="E85" s="178"/>
      <c r="F85" s="178"/>
      <c r="G85" s="182">
        <f>SUM(V11-T11)*J20</f>
        <v>210000</v>
      </c>
      <c r="H85" s="178"/>
      <c r="I85" s="131"/>
      <c r="J85" s="178"/>
      <c r="K85" s="131"/>
      <c r="L85" s="178"/>
      <c r="M85" s="73"/>
      <c r="N85" s="73"/>
      <c r="O85" s="73"/>
      <c r="P85" s="73"/>
      <c r="Q85" s="73"/>
      <c r="R85" s="73"/>
      <c r="S85" s="73"/>
      <c r="T85" s="73"/>
      <c r="U85" s="73"/>
      <c r="V85" s="73" t="s">
        <v>556</v>
      </c>
      <c r="W85" s="73"/>
      <c r="X85" s="76">
        <f>+W39</f>
        <v>11100000</v>
      </c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</row>
    <row r="86" spans="1:42" ht="15.75" customHeight="1" x14ac:dyDescent="0.2">
      <c r="A86" s="73"/>
      <c r="B86" s="131">
        <v>520572</v>
      </c>
      <c r="C86" s="178"/>
      <c r="D86" s="131" t="s">
        <v>548</v>
      </c>
      <c r="E86" s="178"/>
      <c r="F86" s="178"/>
      <c r="G86" s="182">
        <f>SUM(V11-T11)*P19</f>
        <v>70000</v>
      </c>
      <c r="H86" s="178"/>
      <c r="I86" s="131"/>
      <c r="J86" s="178"/>
      <c r="K86" s="131"/>
      <c r="L86" s="178"/>
      <c r="M86" s="73"/>
      <c r="N86" s="73"/>
      <c r="O86" s="73"/>
      <c r="P86" s="73"/>
      <c r="Q86" s="73"/>
      <c r="R86" s="73"/>
      <c r="S86" s="73"/>
      <c r="T86" s="73"/>
      <c r="U86" s="73"/>
      <c r="V86" s="73" t="s">
        <v>557</v>
      </c>
      <c r="W86" s="73"/>
      <c r="X86" s="76">
        <f>+W78</f>
        <v>2758725</v>
      </c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</row>
    <row r="87" spans="1:42" ht="15.75" customHeight="1" x14ac:dyDescent="0.25">
      <c r="A87" s="73"/>
      <c r="B87" s="177">
        <v>2370</v>
      </c>
      <c r="C87" s="178"/>
      <c r="D87" s="177" t="s">
        <v>545</v>
      </c>
      <c r="E87" s="178"/>
      <c r="F87" s="178"/>
      <c r="G87" s="131"/>
      <c r="H87" s="178"/>
      <c r="I87" s="131"/>
      <c r="J87" s="178"/>
      <c r="K87" s="182">
        <f>G89+G90</f>
        <v>508725</v>
      </c>
      <c r="L87" s="178"/>
      <c r="M87" s="73"/>
      <c r="N87" s="73"/>
      <c r="O87" s="73"/>
      <c r="P87" s="73"/>
      <c r="Q87" s="73"/>
      <c r="R87" s="73"/>
      <c r="S87" s="73"/>
      <c r="T87" s="73"/>
      <c r="U87" s="73"/>
      <c r="V87" s="73" t="s">
        <v>558</v>
      </c>
      <c r="W87" s="73"/>
      <c r="X87" s="76">
        <f>SUM(X85:X86)</f>
        <v>13858725</v>
      </c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</row>
    <row r="88" spans="1:42" ht="15.75" customHeight="1" x14ac:dyDescent="0.2">
      <c r="A88" s="73"/>
      <c r="B88" s="131">
        <v>237005</v>
      </c>
      <c r="C88" s="178"/>
      <c r="D88" s="131" t="s">
        <v>499</v>
      </c>
      <c r="E88" s="178"/>
      <c r="F88" s="178"/>
      <c r="G88" s="131"/>
      <c r="H88" s="178"/>
      <c r="I88" s="131"/>
      <c r="J88" s="178"/>
      <c r="K88" s="131"/>
      <c r="L88" s="178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</row>
    <row r="89" spans="1:42" ht="15.75" customHeight="1" x14ac:dyDescent="0.2">
      <c r="A89" s="73"/>
      <c r="B89" s="131">
        <v>237006</v>
      </c>
      <c r="C89" s="178"/>
      <c r="D89" s="131" t="s">
        <v>515</v>
      </c>
      <c r="E89" s="178"/>
      <c r="F89" s="178"/>
      <c r="G89" s="182">
        <f>G74+G83</f>
        <v>58725</v>
      </c>
      <c r="H89" s="178"/>
      <c r="I89" s="131"/>
      <c r="J89" s="178"/>
      <c r="K89" s="131"/>
      <c r="L89" s="178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</row>
    <row r="90" spans="1:42" ht="15.75" customHeight="1" x14ac:dyDescent="0.2">
      <c r="A90" s="73"/>
      <c r="B90" s="131">
        <v>237010</v>
      </c>
      <c r="C90" s="178"/>
      <c r="D90" s="131" t="s">
        <v>548</v>
      </c>
      <c r="E90" s="178"/>
      <c r="F90" s="178"/>
      <c r="G90" s="182">
        <f>G77+G86</f>
        <v>450000</v>
      </c>
      <c r="H90" s="178"/>
      <c r="I90" s="131"/>
      <c r="J90" s="178"/>
      <c r="K90" s="131"/>
      <c r="L90" s="178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</row>
    <row r="91" spans="1:42" ht="15.75" customHeight="1" x14ac:dyDescent="0.25">
      <c r="A91" s="73"/>
      <c r="B91" s="177">
        <v>2380</v>
      </c>
      <c r="C91" s="178"/>
      <c r="D91" s="177" t="s">
        <v>549</v>
      </c>
      <c r="E91" s="178"/>
      <c r="F91" s="178"/>
      <c r="G91" s="131"/>
      <c r="H91" s="178"/>
      <c r="I91" s="131"/>
      <c r="J91" s="178"/>
      <c r="K91" s="182">
        <f>G92</f>
        <v>1350000</v>
      </c>
      <c r="L91" s="178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</row>
    <row r="92" spans="1:42" ht="15.75" customHeight="1" x14ac:dyDescent="0.2">
      <c r="A92" s="73"/>
      <c r="B92" s="131">
        <v>238030</v>
      </c>
      <c r="C92" s="178"/>
      <c r="D92" s="131" t="s">
        <v>500</v>
      </c>
      <c r="E92" s="178"/>
      <c r="F92" s="178"/>
      <c r="G92" s="182">
        <f>G76+G85</f>
        <v>1350000</v>
      </c>
      <c r="H92" s="178"/>
      <c r="I92" s="131"/>
      <c r="J92" s="178"/>
      <c r="K92" s="131"/>
      <c r="L92" s="178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</row>
    <row r="93" spans="1:42" ht="15.75" customHeight="1" x14ac:dyDescent="0.2">
      <c r="A93" s="73"/>
      <c r="B93" s="131">
        <v>251010</v>
      </c>
      <c r="C93" s="178"/>
      <c r="D93" s="131" t="s">
        <v>511</v>
      </c>
      <c r="E93" s="178"/>
      <c r="F93" s="178"/>
      <c r="G93" s="73"/>
      <c r="H93" s="73"/>
      <c r="I93" s="131"/>
      <c r="J93" s="178"/>
      <c r="K93" s="182">
        <f>G70+G79</f>
        <v>999999.99999999965</v>
      </c>
      <c r="L93" s="178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</row>
    <row r="94" spans="1:42" ht="15.75" customHeight="1" x14ac:dyDescent="0.2">
      <c r="A94" s="73"/>
      <c r="B94" s="131">
        <v>251505</v>
      </c>
      <c r="C94" s="178"/>
      <c r="D94" s="131" t="s">
        <v>546</v>
      </c>
      <c r="E94" s="178"/>
      <c r="F94" s="178"/>
      <c r="G94" s="73"/>
      <c r="H94" s="73"/>
      <c r="I94" s="131"/>
      <c r="J94" s="178"/>
      <c r="K94" s="182">
        <f>G71+G80</f>
        <v>119999.99999999994</v>
      </c>
      <c r="L94" s="178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</row>
    <row r="95" spans="1:42" ht="15.75" customHeight="1" x14ac:dyDescent="0.2">
      <c r="A95" s="73"/>
      <c r="B95" s="131">
        <v>252025</v>
      </c>
      <c r="C95" s="178"/>
      <c r="D95" s="131" t="s">
        <v>547</v>
      </c>
      <c r="E95" s="178"/>
      <c r="F95" s="178"/>
      <c r="G95" s="73"/>
      <c r="H95" s="73"/>
      <c r="I95" s="131"/>
      <c r="J95" s="178"/>
      <c r="K95" s="182">
        <f>G72+G81</f>
        <v>999999.99999999965</v>
      </c>
      <c r="L95" s="178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</row>
    <row r="96" spans="1:42" ht="15.75" customHeight="1" x14ac:dyDescent="0.2">
      <c r="A96" s="73"/>
      <c r="B96" s="131">
        <v>252505</v>
      </c>
      <c r="C96" s="178"/>
      <c r="D96" s="131" t="s">
        <v>518</v>
      </c>
      <c r="E96" s="178"/>
      <c r="F96" s="178"/>
      <c r="G96" s="73"/>
      <c r="H96" s="73"/>
      <c r="I96" s="131"/>
      <c r="J96" s="178"/>
      <c r="K96" s="182">
        <f>G73+G82</f>
        <v>468750.00000000041</v>
      </c>
      <c r="L96" s="178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</row>
    <row r="97" spans="1:42" ht="15.75" customHeight="1" x14ac:dyDescent="0.2">
      <c r="A97" s="73"/>
      <c r="B97" s="131"/>
      <c r="C97" s="178"/>
      <c r="D97" s="131"/>
      <c r="E97" s="178"/>
      <c r="F97" s="178"/>
      <c r="G97" s="131"/>
      <c r="H97" s="178"/>
      <c r="I97" s="131"/>
      <c r="J97" s="178"/>
      <c r="K97" s="131"/>
      <c r="L97" s="178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</row>
    <row r="98" spans="1:42" ht="15.75" customHeight="1" x14ac:dyDescent="0.25">
      <c r="A98" s="73"/>
      <c r="B98" s="131"/>
      <c r="C98" s="178"/>
      <c r="D98" s="177" t="s">
        <v>537</v>
      </c>
      <c r="E98" s="178"/>
      <c r="F98" s="178"/>
      <c r="G98" s="177"/>
      <c r="H98" s="178"/>
      <c r="I98" s="181">
        <f>SUM(I69:J97)</f>
        <v>4447475</v>
      </c>
      <c r="J98" s="178"/>
      <c r="K98" s="181">
        <f>SUM(K69:L97)</f>
        <v>4447474.9999999991</v>
      </c>
      <c r="L98" s="178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</row>
    <row r="99" spans="1:42" ht="15.75" customHeight="1" x14ac:dyDescent="0.2">
      <c r="A99" s="73"/>
      <c r="B99" s="131"/>
      <c r="C99" s="178"/>
      <c r="D99" s="131"/>
      <c r="E99" s="178"/>
      <c r="F99" s="178"/>
      <c r="G99" s="131"/>
      <c r="H99" s="178"/>
      <c r="I99" s="131"/>
      <c r="J99" s="178"/>
      <c r="K99" s="131"/>
      <c r="L99" s="178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</row>
    <row r="100" spans="1:42" ht="15.75" customHeight="1" x14ac:dyDescent="0.2">
      <c r="A100" s="73"/>
      <c r="B100" s="131"/>
      <c r="C100" s="178"/>
      <c r="D100" s="131"/>
      <c r="E100" s="178"/>
      <c r="F100" s="178"/>
      <c r="G100" s="131"/>
      <c r="H100" s="178"/>
      <c r="I100" s="131"/>
      <c r="J100" s="178"/>
      <c r="K100" s="131"/>
      <c r="L100" s="178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</row>
    <row r="101" spans="1:42" ht="15.75" customHeight="1" x14ac:dyDescent="0.2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</row>
    <row r="102" spans="1:42" ht="15.75" customHeight="1" x14ac:dyDescent="0.25">
      <c r="A102" s="73"/>
      <c r="B102" s="184" t="s">
        <v>561</v>
      </c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</row>
    <row r="103" spans="1:42" ht="15.75" customHeight="1" x14ac:dyDescent="0.2">
      <c r="A103" s="73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</row>
    <row r="104" spans="1:42" ht="15.75" customHeight="1" x14ac:dyDescent="0.25">
      <c r="A104" s="73"/>
      <c r="B104" s="185" t="s">
        <v>562</v>
      </c>
      <c r="C104" s="185"/>
      <c r="D104" s="185" t="s">
        <v>563</v>
      </c>
      <c r="E104" s="185"/>
      <c r="F104" s="185" t="s">
        <v>564</v>
      </c>
      <c r="G104" s="185"/>
      <c r="H104" s="185" t="s">
        <v>565</v>
      </c>
      <c r="I104" s="185"/>
      <c r="J104" s="185" t="s">
        <v>566</v>
      </c>
      <c r="K104" s="185"/>
      <c r="L104" s="80" t="s">
        <v>567</v>
      </c>
      <c r="M104" s="80"/>
      <c r="N104" s="80" t="s">
        <v>568</v>
      </c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</row>
    <row r="105" spans="1:42" ht="15.75" customHeight="1" x14ac:dyDescent="0.2">
      <c r="A105" s="73"/>
      <c r="B105" s="186" t="s">
        <v>114</v>
      </c>
      <c r="C105" s="186"/>
      <c r="D105" s="186" t="s">
        <v>116</v>
      </c>
      <c r="E105" s="186"/>
      <c r="F105" s="187">
        <f>V8</f>
        <v>4500000</v>
      </c>
      <c r="G105" s="187"/>
      <c r="H105" s="188">
        <f>((V8-T8)*$J$20) + ((V8-T8)*$J$21) + ((V8-T8)*$P$19)</f>
        <v>743490</v>
      </c>
      <c r="I105" s="188"/>
      <c r="J105" s="188">
        <f>(V8*$V$19) + (V8*$V$19*$V$20) + (V8*$V$21) + ((V8-T8)*$V$22)</f>
        <v>982499.99999999977</v>
      </c>
      <c r="K105" s="188"/>
      <c r="L105" s="81">
        <f>F105+H105+J105</f>
        <v>6225990</v>
      </c>
      <c r="M105" s="81"/>
      <c r="N105" s="81">
        <f>L105*12</f>
        <v>74711880</v>
      </c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</row>
    <row r="106" spans="1:42" ht="15.75" customHeight="1" x14ac:dyDescent="0.2">
      <c r="A106" s="73"/>
      <c r="B106" s="186" t="s">
        <v>569</v>
      </c>
      <c r="C106" s="186"/>
      <c r="D106" s="186" t="s">
        <v>116</v>
      </c>
      <c r="E106" s="186"/>
      <c r="F106" s="187">
        <f>V9</f>
        <v>3250000</v>
      </c>
      <c r="G106" s="187"/>
      <c r="H106" s="188">
        <f>((V9-T9)*$J$20) + ((V9-T9)*$J$21) + ((V9-T9)*$P$19)</f>
        <v>495660</v>
      </c>
      <c r="I106" s="188"/>
      <c r="J106" s="188">
        <f>(V9*$V$19) + (V9*$V$19*$V$20) + (V9*$V$21) + ((V9-T9)*$V$22)</f>
        <v>699166.66666666663</v>
      </c>
      <c r="K106" s="188"/>
      <c r="L106" s="81">
        <f>F106+H106+J106</f>
        <v>4444826.666666667</v>
      </c>
      <c r="M106" s="81"/>
      <c r="N106" s="81">
        <f>L106*12</f>
        <v>53337920</v>
      </c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</row>
    <row r="107" spans="1:42" ht="15.75" customHeight="1" x14ac:dyDescent="0.2">
      <c r="A107" s="73"/>
      <c r="B107" s="186" t="s">
        <v>570</v>
      </c>
      <c r="C107" s="186"/>
      <c r="D107" s="186" t="s">
        <v>571</v>
      </c>
      <c r="E107" s="186"/>
      <c r="F107" s="187">
        <f>V10</f>
        <v>2250000.0000000005</v>
      </c>
      <c r="G107" s="187"/>
      <c r="H107" s="188">
        <f>((V10-T10)*$J$20) + ((V10-T10)*$J$21) + ((V10-T10)*$P$19)</f>
        <v>330440.00000000006</v>
      </c>
      <c r="I107" s="188"/>
      <c r="J107" s="188">
        <f>(V10*$V$19) + (V10*$V$19*$V$20) + (V10*$V$21) + ((V10-T10)*$V$22)</f>
        <v>480833.33333333337</v>
      </c>
      <c r="K107" s="188"/>
      <c r="L107" s="81">
        <f>F107+H107+J107</f>
        <v>3061273.333333334</v>
      </c>
      <c r="M107" s="81"/>
      <c r="N107" s="81">
        <f>L107*12</f>
        <v>36735280.000000007</v>
      </c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</row>
    <row r="108" spans="1:42" ht="15.75" customHeight="1" x14ac:dyDescent="0.2">
      <c r="A108" s="73"/>
      <c r="B108" s="186" t="s">
        <v>123</v>
      </c>
      <c r="C108" s="186"/>
      <c r="D108" s="186" t="s">
        <v>572</v>
      </c>
      <c r="E108" s="186"/>
      <c r="F108" s="187">
        <f>V11</f>
        <v>2000000</v>
      </c>
      <c r="G108" s="187"/>
      <c r="H108" s="188">
        <f>((V11-T11)*$J$20) + ((V11-T11)*$J$21) + ((V11-T11)*$P$19)</f>
        <v>289135</v>
      </c>
      <c r="I108" s="188"/>
      <c r="J108" s="188">
        <f>(V11*$V$19) + (V11*$V$19*$V$20) + (V11*$V$21) + ((V11-T11)*$V$22)</f>
        <v>426249.99999999994</v>
      </c>
      <c r="K108" s="188"/>
      <c r="L108" s="81">
        <f>F108+H108+J108</f>
        <v>2715385</v>
      </c>
      <c r="M108" s="81"/>
      <c r="N108" s="81">
        <f>L108*12</f>
        <v>32584620</v>
      </c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</row>
    <row r="109" spans="1:42" ht="15.75" customHeight="1" x14ac:dyDescent="0.25">
      <c r="A109" s="73"/>
      <c r="B109" s="189" t="s">
        <v>573</v>
      </c>
      <c r="C109" s="189"/>
      <c r="D109" s="189"/>
      <c r="E109" s="189"/>
      <c r="F109" s="190">
        <f>SUM(F105:F108)</f>
        <v>12000000</v>
      </c>
      <c r="G109" s="190"/>
      <c r="H109" s="190">
        <f>SUM(H105:H108)</f>
        <v>1858725</v>
      </c>
      <c r="I109" s="190"/>
      <c r="J109" s="190">
        <f>SUM(J105:J108)</f>
        <v>2588750</v>
      </c>
      <c r="K109" s="190"/>
      <c r="L109" s="82">
        <f>SUM(L105:L108)</f>
        <v>16447475.000000002</v>
      </c>
      <c r="M109" s="82"/>
      <c r="N109" s="82">
        <f>SUM(N105:N108)</f>
        <v>197369700</v>
      </c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</row>
    <row r="110" spans="1:42" ht="15.75" customHeight="1" x14ac:dyDescent="0.2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</row>
    <row r="111" spans="1:42" ht="15.75" customHeight="1" x14ac:dyDescent="0.2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6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</row>
    <row r="112" spans="1:42" ht="15.75" customHeight="1" x14ac:dyDescent="0.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</row>
    <row r="113" spans="1:42" ht="15.75" customHeight="1" x14ac:dyDescent="0.2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</row>
    <row r="114" spans="1:42" ht="15.75" customHeight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</row>
    <row r="115" spans="1:42" ht="15.75" customHeight="1" x14ac:dyDescent="0.2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</row>
    <row r="116" spans="1:42" ht="15.75" customHeight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</row>
    <row r="117" spans="1:42" ht="15.75" customHeight="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</row>
    <row r="118" spans="1:42" ht="15.75" customHeight="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</row>
    <row r="119" spans="1:42" ht="15.75" customHeight="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</row>
    <row r="120" spans="1:42" ht="15.75" customHeight="1" x14ac:dyDescent="0.2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</row>
    <row r="121" spans="1:42" ht="15.75" customHeight="1" x14ac:dyDescent="0.2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</row>
    <row r="122" spans="1:42" ht="15.75" customHeight="1" x14ac:dyDescent="0.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</row>
    <row r="123" spans="1:42" ht="15.75" customHeight="1" x14ac:dyDescent="0.2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</row>
    <row r="124" spans="1:42" ht="15.75" customHeight="1" x14ac:dyDescent="0.2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</row>
    <row r="125" spans="1:42" ht="15.75" customHeight="1" x14ac:dyDescent="0.2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</row>
    <row r="126" spans="1:42" ht="15.75" customHeight="1" x14ac:dyDescent="0.2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</row>
    <row r="127" spans="1:42" ht="15.75" customHeight="1" x14ac:dyDescent="0.2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</row>
    <row r="128" spans="1:42" ht="15.75" customHeight="1" x14ac:dyDescent="0.2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</row>
    <row r="129" spans="1:42" ht="15.75" customHeight="1" x14ac:dyDescent="0.2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</row>
    <row r="130" spans="1:42" ht="15.75" customHeight="1" x14ac:dyDescent="0.2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</row>
    <row r="131" spans="1:42" ht="15.75" customHeight="1" x14ac:dyDescent="0.2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</row>
    <row r="132" spans="1:42" ht="15.75" customHeight="1" x14ac:dyDescent="0.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</row>
    <row r="133" spans="1:42" ht="15.75" customHeight="1" x14ac:dyDescent="0.2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</row>
    <row r="134" spans="1:42" ht="15.75" customHeight="1" x14ac:dyDescent="0.2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</row>
    <row r="135" spans="1:42" ht="15.75" customHeight="1" x14ac:dyDescent="0.2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</row>
    <row r="136" spans="1:42" ht="15.75" customHeight="1" x14ac:dyDescent="0.2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</row>
    <row r="137" spans="1:42" ht="15.75" customHeight="1" x14ac:dyDescent="0.2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</row>
    <row r="138" spans="1:42" ht="15.75" customHeight="1" x14ac:dyDescent="0.2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</row>
    <row r="139" spans="1:42" ht="15.75" customHeight="1" x14ac:dyDescent="0.2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</row>
    <row r="140" spans="1:42" ht="15.75" customHeight="1" x14ac:dyDescent="0.2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</row>
    <row r="141" spans="1:42" ht="15.75" customHeight="1" x14ac:dyDescent="0.2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</row>
    <row r="142" spans="1:42" ht="15.75" customHeight="1" x14ac:dyDescent="0.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</row>
    <row r="143" spans="1:42" ht="15.75" customHeight="1" x14ac:dyDescent="0.2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</row>
    <row r="144" spans="1:42" ht="15.75" customHeight="1" x14ac:dyDescent="0.2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</row>
    <row r="145" spans="1:42" ht="15.75" customHeight="1" x14ac:dyDescent="0.2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</row>
    <row r="146" spans="1:42" ht="15.75" customHeight="1" x14ac:dyDescent="0.2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</row>
    <row r="147" spans="1:42" ht="15.75" customHeight="1" x14ac:dyDescent="0.2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</row>
    <row r="148" spans="1:42" ht="15.75" customHeight="1" x14ac:dyDescent="0.2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</row>
    <row r="149" spans="1:42" ht="15.75" customHeight="1" x14ac:dyDescent="0.2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</row>
    <row r="150" spans="1:42" ht="15.75" customHeight="1" x14ac:dyDescent="0.2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</row>
    <row r="151" spans="1:42" ht="15.75" customHeight="1" x14ac:dyDescent="0.2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</row>
    <row r="152" spans="1:42" ht="15.75" customHeight="1" x14ac:dyDescent="0.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</row>
    <row r="153" spans="1:42" ht="15.75" customHeight="1" x14ac:dyDescent="0.2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</row>
    <row r="154" spans="1:42" ht="15.75" customHeight="1" x14ac:dyDescent="0.2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</row>
    <row r="155" spans="1:42" ht="15.75" customHeight="1" x14ac:dyDescent="0.2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</row>
    <row r="156" spans="1:42" ht="15.75" customHeight="1" x14ac:dyDescent="0.2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</row>
    <row r="157" spans="1:42" ht="15.75" customHeight="1" x14ac:dyDescent="0.2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</row>
    <row r="158" spans="1:42" ht="15.75" customHeight="1" x14ac:dyDescent="0.2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</row>
    <row r="159" spans="1:42" ht="15.75" customHeight="1" x14ac:dyDescent="0.2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</row>
    <row r="160" spans="1:42" ht="15.75" customHeight="1" x14ac:dyDescent="0.2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</row>
    <row r="161" spans="1:42" ht="15.75" customHeight="1" x14ac:dyDescent="0.2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</row>
    <row r="162" spans="1:42" ht="15.75" customHeight="1" x14ac:dyDescent="0.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</row>
    <row r="163" spans="1:42" ht="15.75" customHeight="1" x14ac:dyDescent="0.2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</row>
    <row r="164" spans="1:42" ht="15.75" customHeight="1" x14ac:dyDescent="0.2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</row>
    <row r="165" spans="1:42" ht="15.75" customHeight="1" x14ac:dyDescent="0.2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</row>
    <row r="166" spans="1:42" ht="15.75" customHeight="1" x14ac:dyDescent="0.2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</row>
    <row r="167" spans="1:42" ht="15.75" customHeight="1" x14ac:dyDescent="0.2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</row>
    <row r="168" spans="1:42" ht="15.75" customHeight="1" x14ac:dyDescent="0.2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</row>
    <row r="169" spans="1:42" ht="15.75" customHeight="1" x14ac:dyDescent="0.2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</row>
    <row r="170" spans="1:42" ht="15.75" customHeight="1" x14ac:dyDescent="0.2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</row>
    <row r="171" spans="1:42" ht="15.75" customHeight="1" x14ac:dyDescent="0.2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</row>
    <row r="172" spans="1:42" ht="15.75" customHeight="1" x14ac:dyDescent="0.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</row>
    <row r="173" spans="1:42" ht="15.75" customHeight="1" x14ac:dyDescent="0.2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</row>
    <row r="174" spans="1:42" ht="15.75" customHeight="1" x14ac:dyDescent="0.2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</row>
    <row r="175" spans="1:42" ht="15.75" customHeight="1" x14ac:dyDescent="0.2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</row>
    <row r="176" spans="1:42" ht="15.75" customHeight="1" x14ac:dyDescent="0.2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</row>
    <row r="177" spans="1:42" ht="15.75" customHeight="1" x14ac:dyDescent="0.2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</row>
    <row r="178" spans="1:42" ht="15.75" customHeight="1" x14ac:dyDescent="0.2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</row>
    <row r="179" spans="1:42" ht="15.75" customHeight="1" x14ac:dyDescent="0.2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</row>
    <row r="180" spans="1:42" ht="15.75" customHeight="1" x14ac:dyDescent="0.2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</row>
    <row r="181" spans="1:42" ht="15.75" customHeight="1" x14ac:dyDescent="0.2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</row>
    <row r="182" spans="1:42" ht="15.75" customHeight="1" x14ac:dyDescent="0.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</row>
    <row r="183" spans="1:42" ht="15.75" customHeight="1" x14ac:dyDescent="0.2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</row>
    <row r="184" spans="1:42" ht="15.75" customHeight="1" x14ac:dyDescent="0.2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</row>
    <row r="185" spans="1:42" ht="15.75" customHeight="1" x14ac:dyDescent="0.2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</row>
    <row r="186" spans="1:42" ht="15.75" customHeight="1" x14ac:dyDescent="0.2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</row>
    <row r="187" spans="1:42" ht="15.75" customHeight="1" x14ac:dyDescent="0.2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</row>
    <row r="188" spans="1:42" ht="15.75" customHeight="1" x14ac:dyDescent="0.2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</row>
    <row r="189" spans="1:42" ht="15.75" customHeight="1" x14ac:dyDescent="0.2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</row>
    <row r="190" spans="1:42" ht="15.75" customHeight="1" x14ac:dyDescent="0.2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</row>
    <row r="191" spans="1:42" ht="15.75" customHeight="1" x14ac:dyDescent="0.2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</row>
    <row r="192" spans="1:42" ht="15.75" customHeight="1" x14ac:dyDescent="0.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</row>
    <row r="193" spans="1:42" ht="15.75" customHeight="1" x14ac:dyDescent="0.2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</row>
    <row r="194" spans="1:42" ht="15.75" customHeight="1" x14ac:dyDescent="0.2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</row>
    <row r="195" spans="1:42" ht="15.75" customHeight="1" x14ac:dyDescent="0.2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</row>
    <row r="196" spans="1:42" ht="15.75" customHeight="1" x14ac:dyDescent="0.2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</row>
    <row r="197" spans="1:42" ht="15.75" customHeight="1" x14ac:dyDescent="0.2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</row>
    <row r="198" spans="1:42" ht="15.75" customHeight="1" x14ac:dyDescent="0.2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</row>
    <row r="199" spans="1:42" ht="15.75" customHeight="1" x14ac:dyDescent="0.2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</row>
    <row r="200" spans="1:42" ht="15.75" customHeight="1" x14ac:dyDescent="0.2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</row>
    <row r="201" spans="1:42" ht="15.75" customHeight="1" x14ac:dyDescent="0.2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</row>
    <row r="202" spans="1:42" ht="15.75" customHeight="1" x14ac:dyDescent="0.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</row>
    <row r="203" spans="1:42" ht="15.75" customHeight="1" x14ac:dyDescent="0.2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</row>
    <row r="204" spans="1:42" ht="15.75" customHeight="1" x14ac:dyDescent="0.2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</row>
    <row r="205" spans="1:42" ht="15.75" customHeight="1" x14ac:dyDescent="0.2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</row>
    <row r="206" spans="1:42" ht="15.75" customHeight="1" x14ac:dyDescent="0.2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</row>
    <row r="207" spans="1:42" ht="15.75" customHeight="1" x14ac:dyDescent="0.2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</row>
    <row r="208" spans="1:42" ht="15.75" customHeight="1" x14ac:dyDescent="0.2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</row>
    <row r="209" spans="1:42" ht="15.75" customHeight="1" x14ac:dyDescent="0.2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</row>
    <row r="210" spans="1:42" ht="15.75" customHeight="1" x14ac:dyDescent="0.2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</row>
    <row r="211" spans="1:42" ht="15.75" customHeight="1" x14ac:dyDescent="0.2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</row>
    <row r="212" spans="1:42" ht="15.75" customHeight="1" x14ac:dyDescent="0.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</row>
    <row r="213" spans="1:42" ht="15.75" customHeight="1" x14ac:dyDescent="0.2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</row>
    <row r="214" spans="1:42" ht="15.75" customHeight="1" x14ac:dyDescent="0.2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</row>
    <row r="215" spans="1:42" ht="15.75" customHeight="1" x14ac:dyDescent="0.2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</row>
    <row r="216" spans="1:42" ht="15.75" customHeight="1" x14ac:dyDescent="0.2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</row>
    <row r="217" spans="1:42" ht="15.75" customHeight="1" x14ac:dyDescent="0.2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</row>
    <row r="218" spans="1:42" ht="15.75" customHeight="1" x14ac:dyDescent="0.2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</row>
    <row r="219" spans="1:42" ht="15.75" customHeight="1" x14ac:dyDescent="0.2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</row>
    <row r="220" spans="1:42" ht="15.75" customHeight="1" x14ac:dyDescent="0.2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</row>
    <row r="221" spans="1:42" ht="15.75" customHeight="1" x14ac:dyDescent="0.2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</row>
    <row r="222" spans="1:42" ht="15.75" customHeight="1" x14ac:dyDescent="0.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</row>
    <row r="223" spans="1:42" ht="15.75" customHeight="1" x14ac:dyDescent="0.2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</row>
    <row r="224" spans="1:42" ht="15.75" customHeight="1" x14ac:dyDescent="0.2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</row>
    <row r="225" spans="1:42" ht="15.75" customHeight="1" x14ac:dyDescent="0.2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</row>
    <row r="226" spans="1:42" ht="15.75" customHeight="1" x14ac:dyDescent="0.2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</row>
    <row r="227" spans="1:42" ht="15.75" customHeight="1" x14ac:dyDescent="0.2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</row>
    <row r="228" spans="1:42" ht="15.75" customHeight="1" x14ac:dyDescent="0.2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</row>
    <row r="229" spans="1:42" ht="15.75" customHeight="1" x14ac:dyDescent="0.2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</row>
    <row r="230" spans="1:42" ht="15.75" customHeight="1" x14ac:dyDescent="0.2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</row>
    <row r="231" spans="1:42" ht="15.75" customHeight="1" x14ac:dyDescent="0.2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</row>
    <row r="232" spans="1:42" ht="15.75" customHeight="1" x14ac:dyDescent="0.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</row>
    <row r="233" spans="1:42" ht="15.75" customHeight="1" x14ac:dyDescent="0.2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</row>
    <row r="234" spans="1:42" ht="15.75" customHeight="1" x14ac:dyDescent="0.2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</row>
    <row r="235" spans="1:42" ht="15.75" customHeight="1" x14ac:dyDescent="0.2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</row>
    <row r="236" spans="1:42" ht="15.75" customHeight="1" x14ac:dyDescent="0.2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</row>
    <row r="237" spans="1:42" ht="15.75" customHeight="1" x14ac:dyDescent="0.2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</row>
    <row r="238" spans="1:42" ht="15.75" customHeight="1" x14ac:dyDescent="0.2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</row>
    <row r="239" spans="1:42" ht="15.75" customHeight="1" x14ac:dyDescent="0.2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</row>
    <row r="240" spans="1:42" ht="15.75" customHeight="1" x14ac:dyDescent="0.2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</row>
    <row r="241" spans="1:42" ht="15.75" customHeight="1" x14ac:dyDescent="0.2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</row>
    <row r="242" spans="1:42" ht="15.75" customHeight="1" x14ac:dyDescent="0.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</row>
    <row r="243" spans="1:42" ht="15.75" customHeight="1" x14ac:dyDescent="0.2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</row>
    <row r="244" spans="1:42" ht="15.75" customHeight="1" x14ac:dyDescent="0.2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</row>
    <row r="245" spans="1:42" ht="15.75" customHeight="1" x14ac:dyDescent="0.2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</row>
    <row r="246" spans="1:42" ht="15.75" customHeight="1" x14ac:dyDescent="0.2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</row>
    <row r="247" spans="1:42" ht="15.75" customHeight="1" x14ac:dyDescent="0.2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</row>
    <row r="248" spans="1:42" ht="15.75" customHeight="1" x14ac:dyDescent="0.2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</row>
    <row r="249" spans="1:42" ht="15.75" customHeight="1" x14ac:dyDescent="0.2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</row>
    <row r="250" spans="1:42" ht="15.75" customHeight="1" x14ac:dyDescent="0.2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</row>
    <row r="251" spans="1:42" ht="15.75" customHeight="1" x14ac:dyDescent="0.2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</row>
    <row r="252" spans="1:42" ht="15.75" customHeight="1" x14ac:dyDescent="0.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</row>
    <row r="253" spans="1:42" ht="15.75" customHeight="1" x14ac:dyDescent="0.2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</row>
    <row r="254" spans="1:42" ht="15.75" customHeight="1" x14ac:dyDescent="0.2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</row>
    <row r="255" spans="1:42" ht="15.75" customHeight="1" x14ac:dyDescent="0.2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</row>
    <row r="256" spans="1:42" ht="15.75" customHeight="1" x14ac:dyDescent="0.2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</row>
    <row r="257" spans="1:42" ht="15.75" customHeight="1" x14ac:dyDescent="0.2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</row>
    <row r="258" spans="1:42" ht="15.75" customHeight="1" x14ac:dyDescent="0.2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</row>
    <row r="259" spans="1:42" ht="15.75" customHeight="1" x14ac:dyDescent="0.2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</row>
    <row r="260" spans="1:42" ht="15.75" customHeight="1" x14ac:dyDescent="0.2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  <c r="AP260" s="73"/>
    </row>
    <row r="261" spans="1:42" ht="15.75" customHeight="1" x14ac:dyDescent="0.2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  <c r="AP261" s="73"/>
    </row>
    <row r="262" spans="1:42" ht="15.75" customHeight="1" x14ac:dyDescent="0.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  <c r="AP262" s="73"/>
    </row>
    <row r="263" spans="1:42" ht="15.75" customHeight="1" x14ac:dyDescent="0.2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</row>
    <row r="264" spans="1:42" ht="15.75" customHeight="1" x14ac:dyDescent="0.2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</row>
    <row r="265" spans="1:42" ht="15.75" customHeight="1" x14ac:dyDescent="0.2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</row>
    <row r="266" spans="1:42" ht="15.75" customHeight="1" x14ac:dyDescent="0.2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</row>
    <row r="267" spans="1:42" ht="15.75" customHeight="1" x14ac:dyDescent="0.2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</row>
    <row r="268" spans="1:42" ht="15.75" customHeight="1" x14ac:dyDescent="0.2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</row>
    <row r="269" spans="1:42" ht="15.75" customHeight="1" x14ac:dyDescent="0.2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</row>
    <row r="270" spans="1:42" ht="15.75" customHeight="1" x14ac:dyDescent="0.2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</row>
    <row r="271" spans="1:42" ht="15.75" customHeight="1" x14ac:dyDescent="0.2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</row>
    <row r="272" spans="1:42" ht="15.75" customHeight="1" x14ac:dyDescent="0.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</row>
    <row r="273" spans="1:42" ht="15.75" customHeight="1" x14ac:dyDescent="0.2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</row>
    <row r="274" spans="1:42" ht="15.75" customHeight="1" x14ac:dyDescent="0.2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</row>
    <row r="275" spans="1:42" ht="15.75" customHeight="1" x14ac:dyDescent="0.2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</row>
    <row r="276" spans="1:42" ht="15.75" customHeight="1" x14ac:dyDescent="0.2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  <c r="AK276" s="73"/>
      <c r="AL276" s="73"/>
      <c r="AM276" s="73"/>
      <c r="AN276" s="73"/>
      <c r="AO276" s="73"/>
      <c r="AP276" s="73"/>
    </row>
    <row r="277" spans="1:42" ht="15.75" customHeight="1" x14ac:dyDescent="0.2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  <c r="AK277" s="73"/>
      <c r="AL277" s="73"/>
      <c r="AM277" s="73"/>
      <c r="AN277" s="73"/>
      <c r="AO277" s="73"/>
      <c r="AP277" s="73"/>
    </row>
    <row r="278" spans="1:42" ht="15.75" customHeight="1" x14ac:dyDescent="0.2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  <c r="AK278" s="73"/>
      <c r="AL278" s="73"/>
      <c r="AM278" s="73"/>
      <c r="AN278" s="73"/>
      <c r="AO278" s="73"/>
      <c r="AP278" s="73"/>
    </row>
    <row r="279" spans="1:42" ht="15.75" customHeight="1" x14ac:dyDescent="0.2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  <c r="AK279" s="73"/>
      <c r="AL279" s="73"/>
      <c r="AM279" s="73"/>
      <c r="AN279" s="73"/>
      <c r="AO279" s="73"/>
      <c r="AP279" s="73"/>
    </row>
    <row r="280" spans="1:42" ht="15.75" customHeight="1" x14ac:dyDescent="0.2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  <c r="AK280" s="73"/>
      <c r="AL280" s="73"/>
      <c r="AM280" s="73"/>
      <c r="AN280" s="73"/>
      <c r="AO280" s="73"/>
      <c r="AP280" s="73"/>
    </row>
    <row r="281" spans="1:42" ht="15.75" customHeight="1" x14ac:dyDescent="0.2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  <c r="AK281" s="73"/>
      <c r="AL281" s="73"/>
      <c r="AM281" s="73"/>
      <c r="AN281" s="73"/>
      <c r="AO281" s="73"/>
      <c r="AP281" s="73"/>
    </row>
    <row r="282" spans="1:42" ht="15.75" customHeight="1" x14ac:dyDescent="0.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/>
      <c r="AO282" s="73"/>
      <c r="AP282" s="73"/>
    </row>
    <row r="283" spans="1:42" ht="15.75" customHeight="1" x14ac:dyDescent="0.2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</row>
    <row r="284" spans="1:42" ht="15.75" customHeight="1" x14ac:dyDescent="0.2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  <c r="AK284" s="73"/>
      <c r="AL284" s="73"/>
      <c r="AM284" s="73"/>
      <c r="AN284" s="73"/>
      <c r="AO284" s="73"/>
      <c r="AP284" s="73"/>
    </row>
    <row r="285" spans="1:42" ht="15.75" customHeight="1" x14ac:dyDescent="0.2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</row>
    <row r="286" spans="1:42" ht="15.75" customHeight="1" x14ac:dyDescent="0.2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  <c r="AK286" s="73"/>
      <c r="AL286" s="73"/>
      <c r="AM286" s="73"/>
      <c r="AN286" s="73"/>
      <c r="AO286" s="73"/>
      <c r="AP286" s="73"/>
    </row>
    <row r="287" spans="1:42" ht="15.75" customHeight="1" x14ac:dyDescent="0.2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  <c r="AP287" s="73"/>
    </row>
    <row r="288" spans="1:42" ht="15.75" customHeight="1" x14ac:dyDescent="0.2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  <c r="AK288" s="73"/>
      <c r="AL288" s="73"/>
      <c r="AM288" s="73"/>
      <c r="AN288" s="73"/>
      <c r="AO288" s="73"/>
      <c r="AP288" s="73"/>
    </row>
    <row r="289" spans="1:42" ht="15.75" customHeight="1" x14ac:dyDescent="0.2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  <c r="AK289" s="73"/>
      <c r="AL289" s="73"/>
      <c r="AM289" s="73"/>
      <c r="AN289" s="73"/>
      <c r="AO289" s="73"/>
      <c r="AP289" s="73"/>
    </row>
    <row r="290" spans="1:42" ht="15.75" customHeight="1" x14ac:dyDescent="0.2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  <c r="AK290" s="73"/>
      <c r="AL290" s="73"/>
      <c r="AM290" s="73"/>
      <c r="AN290" s="73"/>
      <c r="AO290" s="73"/>
      <c r="AP290" s="73"/>
    </row>
    <row r="291" spans="1:42" ht="15.75" customHeight="1" x14ac:dyDescent="0.2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  <c r="AK291" s="73"/>
      <c r="AL291" s="73"/>
      <c r="AM291" s="73"/>
      <c r="AN291" s="73"/>
      <c r="AO291" s="73"/>
      <c r="AP291" s="73"/>
    </row>
    <row r="292" spans="1:42" ht="15.75" customHeight="1" x14ac:dyDescent="0.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  <c r="AP292" s="73"/>
    </row>
    <row r="293" spans="1:42" ht="15.75" customHeight="1" x14ac:dyDescent="0.2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  <c r="AP293" s="73"/>
    </row>
    <row r="294" spans="1:42" ht="15.75" customHeight="1" x14ac:dyDescent="0.2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  <c r="AK294" s="73"/>
      <c r="AL294" s="73"/>
      <c r="AM294" s="73"/>
      <c r="AN294" s="73"/>
      <c r="AO294" s="73"/>
      <c r="AP294" s="73"/>
    </row>
    <row r="295" spans="1:42" ht="15.75" customHeight="1" x14ac:dyDescent="0.2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  <c r="AK295" s="73"/>
      <c r="AL295" s="73"/>
      <c r="AM295" s="73"/>
      <c r="AN295" s="73"/>
      <c r="AO295" s="73"/>
      <c r="AP295" s="73"/>
    </row>
    <row r="296" spans="1:42" ht="15.75" customHeight="1" x14ac:dyDescent="0.2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  <c r="AK296" s="73"/>
      <c r="AL296" s="73"/>
      <c r="AM296" s="73"/>
      <c r="AN296" s="73"/>
      <c r="AO296" s="73"/>
      <c r="AP296" s="73"/>
    </row>
    <row r="297" spans="1:42" ht="15.75" customHeight="1" x14ac:dyDescent="0.2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  <c r="AK297" s="73"/>
      <c r="AL297" s="73"/>
      <c r="AM297" s="73"/>
      <c r="AN297" s="73"/>
      <c r="AO297" s="73"/>
      <c r="AP297" s="73"/>
    </row>
    <row r="298" spans="1:42" ht="15.75" customHeight="1" x14ac:dyDescent="0.2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  <c r="AK298" s="73"/>
      <c r="AL298" s="73"/>
      <c r="AM298" s="73"/>
      <c r="AN298" s="73"/>
      <c r="AO298" s="73"/>
      <c r="AP298" s="73"/>
    </row>
    <row r="299" spans="1:42" ht="15.75" customHeight="1" x14ac:dyDescent="0.25"/>
    <row r="300" spans="1:42" ht="15.75" customHeight="1" x14ac:dyDescent="0.25"/>
    <row r="301" spans="1:42" ht="15.75" customHeight="1" x14ac:dyDescent="0.25"/>
    <row r="302" spans="1:42" ht="15.75" customHeight="1" x14ac:dyDescent="0.25"/>
    <row r="303" spans="1:42" ht="15.75" customHeight="1" x14ac:dyDescent="0.25"/>
    <row r="304" spans="1:42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mergeCells count="627">
    <mergeCell ref="B108:C108"/>
    <mergeCell ref="D108:E108"/>
    <mergeCell ref="F108:G108"/>
    <mergeCell ref="H108:I108"/>
    <mergeCell ref="J108:K108"/>
    <mergeCell ref="B109:E109"/>
    <mergeCell ref="F109:G109"/>
    <mergeCell ref="H109:I109"/>
    <mergeCell ref="J109:K109"/>
    <mergeCell ref="B106:C106"/>
    <mergeCell ref="D106:E106"/>
    <mergeCell ref="F106:G106"/>
    <mergeCell ref="H106:I106"/>
    <mergeCell ref="J106:K106"/>
    <mergeCell ref="B107:C107"/>
    <mergeCell ref="D107:E107"/>
    <mergeCell ref="F107:G107"/>
    <mergeCell ref="H107:I107"/>
    <mergeCell ref="J107:K107"/>
    <mergeCell ref="B102:N102"/>
    <mergeCell ref="B104:C104"/>
    <mergeCell ref="D104:E104"/>
    <mergeCell ref="F104:G104"/>
    <mergeCell ref="H104:I104"/>
    <mergeCell ref="J104:K104"/>
    <mergeCell ref="B105:C105"/>
    <mergeCell ref="D105:E105"/>
    <mergeCell ref="F105:G105"/>
    <mergeCell ref="H105:I105"/>
    <mergeCell ref="J105:K105"/>
    <mergeCell ref="B99:C99"/>
    <mergeCell ref="D99:F99"/>
    <mergeCell ref="G99:H99"/>
    <mergeCell ref="I99:J99"/>
    <mergeCell ref="K99:L99"/>
    <mergeCell ref="B100:C100"/>
    <mergeCell ref="D100:F100"/>
    <mergeCell ref="G100:H100"/>
    <mergeCell ref="I100:J100"/>
    <mergeCell ref="K100:L100"/>
    <mergeCell ref="B97:C97"/>
    <mergeCell ref="D97:F97"/>
    <mergeCell ref="G97:H97"/>
    <mergeCell ref="I97:J97"/>
    <mergeCell ref="K97:L97"/>
    <mergeCell ref="B98:C98"/>
    <mergeCell ref="D98:F98"/>
    <mergeCell ref="G98:H98"/>
    <mergeCell ref="I98:J98"/>
    <mergeCell ref="K98:L98"/>
    <mergeCell ref="B95:C95"/>
    <mergeCell ref="D95:F95"/>
    <mergeCell ref="I95:J95"/>
    <mergeCell ref="K95:L95"/>
    <mergeCell ref="B96:C96"/>
    <mergeCell ref="D96:F96"/>
    <mergeCell ref="I96:J96"/>
    <mergeCell ref="K96:L96"/>
    <mergeCell ref="B93:C93"/>
    <mergeCell ref="D93:F93"/>
    <mergeCell ref="I93:J93"/>
    <mergeCell ref="K93:L93"/>
    <mergeCell ref="B94:C94"/>
    <mergeCell ref="D94:F94"/>
    <mergeCell ref="I94:J94"/>
    <mergeCell ref="K94:L94"/>
    <mergeCell ref="B91:C91"/>
    <mergeCell ref="D91:F91"/>
    <mergeCell ref="G91:H91"/>
    <mergeCell ref="I91:J91"/>
    <mergeCell ref="K91:L91"/>
    <mergeCell ref="B92:C92"/>
    <mergeCell ref="D92:F92"/>
    <mergeCell ref="G92:H92"/>
    <mergeCell ref="I92:J92"/>
    <mergeCell ref="K92:L92"/>
    <mergeCell ref="B89:C89"/>
    <mergeCell ref="D89:F89"/>
    <mergeCell ref="G89:H89"/>
    <mergeCell ref="I89:J89"/>
    <mergeCell ref="K89:L89"/>
    <mergeCell ref="B90:C90"/>
    <mergeCell ref="D90:F90"/>
    <mergeCell ref="G90:H90"/>
    <mergeCell ref="I90:J90"/>
    <mergeCell ref="K90:L90"/>
    <mergeCell ref="B87:C87"/>
    <mergeCell ref="D87:F87"/>
    <mergeCell ref="G87:H87"/>
    <mergeCell ref="I87:J87"/>
    <mergeCell ref="K87:L87"/>
    <mergeCell ref="B88:C88"/>
    <mergeCell ref="D88:F88"/>
    <mergeCell ref="G88:H88"/>
    <mergeCell ref="I88:J88"/>
    <mergeCell ref="K88:L88"/>
    <mergeCell ref="B85:C85"/>
    <mergeCell ref="D85:F85"/>
    <mergeCell ref="G85:H85"/>
    <mergeCell ref="I85:J85"/>
    <mergeCell ref="K85:L85"/>
    <mergeCell ref="B86:C86"/>
    <mergeCell ref="D86:F86"/>
    <mergeCell ref="G86:H86"/>
    <mergeCell ref="I86:J86"/>
    <mergeCell ref="K86:L86"/>
    <mergeCell ref="B83:C83"/>
    <mergeCell ref="D83:F83"/>
    <mergeCell ref="G83:H83"/>
    <mergeCell ref="I83:J83"/>
    <mergeCell ref="K83:L83"/>
    <mergeCell ref="B84:C84"/>
    <mergeCell ref="D84:F84"/>
    <mergeCell ref="G84:H84"/>
    <mergeCell ref="I84:J84"/>
    <mergeCell ref="K84:L84"/>
    <mergeCell ref="B81:C81"/>
    <mergeCell ref="D81:F81"/>
    <mergeCell ref="G81:H81"/>
    <mergeCell ref="I81:J81"/>
    <mergeCell ref="K81:L81"/>
    <mergeCell ref="B82:C82"/>
    <mergeCell ref="D82:F82"/>
    <mergeCell ref="G82:H82"/>
    <mergeCell ref="I82:J82"/>
    <mergeCell ref="K82:L82"/>
    <mergeCell ref="U79:V79"/>
    <mergeCell ref="W79:X79"/>
    <mergeCell ref="B80:C80"/>
    <mergeCell ref="D80:F80"/>
    <mergeCell ref="G80:H80"/>
    <mergeCell ref="I80:J80"/>
    <mergeCell ref="K80:L80"/>
    <mergeCell ref="U78:V78"/>
    <mergeCell ref="W78:X78"/>
    <mergeCell ref="B79:C79"/>
    <mergeCell ref="D79:F79"/>
    <mergeCell ref="G79:H79"/>
    <mergeCell ref="I79:J79"/>
    <mergeCell ref="K79:L79"/>
    <mergeCell ref="N79:O79"/>
    <mergeCell ref="P79:R79"/>
    <mergeCell ref="S79:T79"/>
    <mergeCell ref="W77:X77"/>
    <mergeCell ref="B78:C78"/>
    <mergeCell ref="D78:F78"/>
    <mergeCell ref="G78:H78"/>
    <mergeCell ref="I78:J78"/>
    <mergeCell ref="K78:L78"/>
    <mergeCell ref="N78:O78"/>
    <mergeCell ref="P78:R78"/>
    <mergeCell ref="S78:T78"/>
    <mergeCell ref="B77:C77"/>
    <mergeCell ref="D77:F77"/>
    <mergeCell ref="G77:H77"/>
    <mergeCell ref="I77:J77"/>
    <mergeCell ref="K77:L77"/>
    <mergeCell ref="N77:O77"/>
    <mergeCell ref="P77:R77"/>
    <mergeCell ref="S77:T77"/>
    <mergeCell ref="U77:V77"/>
    <mergeCell ref="W75:X75"/>
    <mergeCell ref="B76:C76"/>
    <mergeCell ref="D76:F76"/>
    <mergeCell ref="G76:H76"/>
    <mergeCell ref="I76:J76"/>
    <mergeCell ref="K76:L76"/>
    <mergeCell ref="N76:O76"/>
    <mergeCell ref="P76:R76"/>
    <mergeCell ref="S76:T76"/>
    <mergeCell ref="U76:V76"/>
    <mergeCell ref="W76:X76"/>
    <mergeCell ref="B75:C75"/>
    <mergeCell ref="D75:F75"/>
    <mergeCell ref="G75:H75"/>
    <mergeCell ref="I75:J75"/>
    <mergeCell ref="K75:L75"/>
    <mergeCell ref="N75:O75"/>
    <mergeCell ref="P75:R75"/>
    <mergeCell ref="S75:T75"/>
    <mergeCell ref="U75:V75"/>
    <mergeCell ref="W73:X73"/>
    <mergeCell ref="B74:C74"/>
    <mergeCell ref="D74:F74"/>
    <mergeCell ref="G74:H74"/>
    <mergeCell ref="I74:J74"/>
    <mergeCell ref="K74:L74"/>
    <mergeCell ref="N74:O74"/>
    <mergeCell ref="P74:R74"/>
    <mergeCell ref="S74:T74"/>
    <mergeCell ref="U74:V74"/>
    <mergeCell ref="W74:X74"/>
    <mergeCell ref="B73:C73"/>
    <mergeCell ref="D73:F73"/>
    <mergeCell ref="G73:H73"/>
    <mergeCell ref="I73:J73"/>
    <mergeCell ref="K73:L73"/>
    <mergeCell ref="N73:O73"/>
    <mergeCell ref="P73:R73"/>
    <mergeCell ref="S73:T73"/>
    <mergeCell ref="U73:V73"/>
    <mergeCell ref="W71:X71"/>
    <mergeCell ref="B72:C72"/>
    <mergeCell ref="D72:F72"/>
    <mergeCell ref="G72:H72"/>
    <mergeCell ref="I72:J72"/>
    <mergeCell ref="K72:L72"/>
    <mergeCell ref="N72:O72"/>
    <mergeCell ref="P72:R72"/>
    <mergeCell ref="S72:T72"/>
    <mergeCell ref="U72:V72"/>
    <mergeCell ref="W72:X72"/>
    <mergeCell ref="B71:C71"/>
    <mergeCell ref="D71:F71"/>
    <mergeCell ref="G71:H71"/>
    <mergeCell ref="I71:J71"/>
    <mergeCell ref="K71:L71"/>
    <mergeCell ref="N71:O71"/>
    <mergeCell ref="P71:R71"/>
    <mergeCell ref="S71:T71"/>
    <mergeCell ref="U71:V71"/>
    <mergeCell ref="W69:X69"/>
    <mergeCell ref="B70:C70"/>
    <mergeCell ref="D70:F70"/>
    <mergeCell ref="G70:H70"/>
    <mergeCell ref="I70:J70"/>
    <mergeCell ref="K70:L70"/>
    <mergeCell ref="N70:O70"/>
    <mergeCell ref="P70:R70"/>
    <mergeCell ref="S70:T70"/>
    <mergeCell ref="U70:V70"/>
    <mergeCell ref="W70:X70"/>
    <mergeCell ref="B69:C69"/>
    <mergeCell ref="D69:F69"/>
    <mergeCell ref="G69:H69"/>
    <mergeCell ref="I69:J69"/>
    <mergeCell ref="K69:L69"/>
    <mergeCell ref="N69:O69"/>
    <mergeCell ref="P69:R69"/>
    <mergeCell ref="S69:T69"/>
    <mergeCell ref="U69:V69"/>
    <mergeCell ref="B67:L67"/>
    <mergeCell ref="N67:X67"/>
    <mergeCell ref="B68:C68"/>
    <mergeCell ref="D68:F68"/>
    <mergeCell ref="G68:H68"/>
    <mergeCell ref="I68:J68"/>
    <mergeCell ref="K68:L68"/>
    <mergeCell ref="N68:O68"/>
    <mergeCell ref="P68:R68"/>
    <mergeCell ref="S68:T68"/>
    <mergeCell ref="U68:V68"/>
    <mergeCell ref="W68:X68"/>
    <mergeCell ref="B61:C61"/>
    <mergeCell ref="D61:F61"/>
    <mergeCell ref="G61:H61"/>
    <mergeCell ref="I61:J61"/>
    <mergeCell ref="K61:L61"/>
    <mergeCell ref="B62:C62"/>
    <mergeCell ref="D62:F62"/>
    <mergeCell ref="G62:H62"/>
    <mergeCell ref="I62:J62"/>
    <mergeCell ref="K62:L62"/>
    <mergeCell ref="B60:C60"/>
    <mergeCell ref="D60:F60"/>
    <mergeCell ref="G60:H60"/>
    <mergeCell ref="I60:J60"/>
    <mergeCell ref="K60:L60"/>
    <mergeCell ref="B58:C58"/>
    <mergeCell ref="D58:F58"/>
    <mergeCell ref="G58:H58"/>
    <mergeCell ref="I58:J58"/>
    <mergeCell ref="K58:L58"/>
    <mergeCell ref="B59:C59"/>
    <mergeCell ref="D59:F59"/>
    <mergeCell ref="G59:H59"/>
    <mergeCell ref="I59:J59"/>
    <mergeCell ref="K59:L59"/>
    <mergeCell ref="B56:C56"/>
    <mergeCell ref="D56:F56"/>
    <mergeCell ref="G56:H56"/>
    <mergeCell ref="I56:J56"/>
    <mergeCell ref="K56:L56"/>
    <mergeCell ref="B57:C57"/>
    <mergeCell ref="D57:F57"/>
    <mergeCell ref="G57:H57"/>
    <mergeCell ref="I57:J57"/>
    <mergeCell ref="K57:L57"/>
    <mergeCell ref="B54:C54"/>
    <mergeCell ref="D54:F54"/>
    <mergeCell ref="G54:H54"/>
    <mergeCell ref="I54:J54"/>
    <mergeCell ref="K54:L54"/>
    <mergeCell ref="B55:C55"/>
    <mergeCell ref="D55:F55"/>
    <mergeCell ref="G55:H55"/>
    <mergeCell ref="I55:J55"/>
    <mergeCell ref="K55:L55"/>
    <mergeCell ref="B52:C52"/>
    <mergeCell ref="D52:F52"/>
    <mergeCell ref="G52:H52"/>
    <mergeCell ref="I52:J52"/>
    <mergeCell ref="K52:L52"/>
    <mergeCell ref="B53:C53"/>
    <mergeCell ref="D53:F53"/>
    <mergeCell ref="G53:H53"/>
    <mergeCell ref="I53:J53"/>
    <mergeCell ref="K53:L53"/>
    <mergeCell ref="B50:C50"/>
    <mergeCell ref="D50:F50"/>
    <mergeCell ref="G50:H50"/>
    <mergeCell ref="I50:J50"/>
    <mergeCell ref="K50:L50"/>
    <mergeCell ref="B51:C51"/>
    <mergeCell ref="D51:F51"/>
    <mergeCell ref="G51:H51"/>
    <mergeCell ref="I51:J51"/>
    <mergeCell ref="K51:L51"/>
    <mergeCell ref="B48:C48"/>
    <mergeCell ref="D48:F48"/>
    <mergeCell ref="G48:H48"/>
    <mergeCell ref="I48:J48"/>
    <mergeCell ref="K48:L48"/>
    <mergeCell ref="B49:C49"/>
    <mergeCell ref="D49:F49"/>
    <mergeCell ref="G49:H49"/>
    <mergeCell ref="I49:J49"/>
    <mergeCell ref="K49:L49"/>
    <mergeCell ref="B47:C47"/>
    <mergeCell ref="D47:F47"/>
    <mergeCell ref="G47:H47"/>
    <mergeCell ref="I47:J47"/>
    <mergeCell ref="K47:L47"/>
    <mergeCell ref="B45:C45"/>
    <mergeCell ref="D45:F45"/>
    <mergeCell ref="G45:H45"/>
    <mergeCell ref="I45:J45"/>
    <mergeCell ref="K45:L45"/>
    <mergeCell ref="B46:C46"/>
    <mergeCell ref="D46:F46"/>
    <mergeCell ref="G46:H46"/>
    <mergeCell ref="I46:J46"/>
    <mergeCell ref="K46:L46"/>
    <mergeCell ref="U44:V44"/>
    <mergeCell ref="W44:X44"/>
    <mergeCell ref="U40:V40"/>
    <mergeCell ref="W40:X40"/>
    <mergeCell ref="B44:C44"/>
    <mergeCell ref="D44:F44"/>
    <mergeCell ref="G44:H44"/>
    <mergeCell ref="I44:J44"/>
    <mergeCell ref="K44:L44"/>
    <mergeCell ref="N44:O44"/>
    <mergeCell ref="P44:R44"/>
    <mergeCell ref="S44:T44"/>
    <mergeCell ref="K41:L41"/>
    <mergeCell ref="N41:O41"/>
    <mergeCell ref="P41:R41"/>
    <mergeCell ref="S41:T41"/>
    <mergeCell ref="B40:C40"/>
    <mergeCell ref="D40:F40"/>
    <mergeCell ref="G40:H40"/>
    <mergeCell ref="I40:J40"/>
    <mergeCell ref="K40:L40"/>
    <mergeCell ref="W41:X41"/>
    <mergeCell ref="B42:C42"/>
    <mergeCell ref="D42:F42"/>
    <mergeCell ref="B43:C43"/>
    <mergeCell ref="D43:F43"/>
    <mergeCell ref="G43:H43"/>
    <mergeCell ref="I43:J43"/>
    <mergeCell ref="K43:L43"/>
    <mergeCell ref="N40:O40"/>
    <mergeCell ref="P40:R40"/>
    <mergeCell ref="S40:T40"/>
    <mergeCell ref="U41:V41"/>
    <mergeCell ref="G42:H42"/>
    <mergeCell ref="I42:J42"/>
    <mergeCell ref="K42:L42"/>
    <mergeCell ref="B41:C41"/>
    <mergeCell ref="D41:F41"/>
    <mergeCell ref="G41:H41"/>
    <mergeCell ref="I41:J41"/>
    <mergeCell ref="U38:V38"/>
    <mergeCell ref="W38:X38"/>
    <mergeCell ref="B39:C39"/>
    <mergeCell ref="D39:F39"/>
    <mergeCell ref="G39:H39"/>
    <mergeCell ref="I39:J39"/>
    <mergeCell ref="K39:L39"/>
    <mergeCell ref="U37:V37"/>
    <mergeCell ref="W37:X37"/>
    <mergeCell ref="B38:C38"/>
    <mergeCell ref="D38:F38"/>
    <mergeCell ref="G38:H38"/>
    <mergeCell ref="I38:J38"/>
    <mergeCell ref="K38:L38"/>
    <mergeCell ref="N38:O38"/>
    <mergeCell ref="P38:R38"/>
    <mergeCell ref="S38:T38"/>
    <mergeCell ref="U39:V39"/>
    <mergeCell ref="W39:X39"/>
    <mergeCell ref="N39:O39"/>
    <mergeCell ref="P39:R39"/>
    <mergeCell ref="S39:T39"/>
    <mergeCell ref="W36:X36"/>
    <mergeCell ref="B37:C37"/>
    <mergeCell ref="D37:F37"/>
    <mergeCell ref="G37:H37"/>
    <mergeCell ref="I37:J37"/>
    <mergeCell ref="K37:L37"/>
    <mergeCell ref="N37:O37"/>
    <mergeCell ref="P37:R37"/>
    <mergeCell ref="S37:T37"/>
    <mergeCell ref="B36:C36"/>
    <mergeCell ref="D36:F36"/>
    <mergeCell ref="G36:H36"/>
    <mergeCell ref="I36:J36"/>
    <mergeCell ref="K36:L36"/>
    <mergeCell ref="N36:O36"/>
    <mergeCell ref="P36:R36"/>
    <mergeCell ref="S36:T36"/>
    <mergeCell ref="U36:V36"/>
    <mergeCell ref="W34:X34"/>
    <mergeCell ref="B35:C35"/>
    <mergeCell ref="D35:F35"/>
    <mergeCell ref="G35:H35"/>
    <mergeCell ref="I35:J35"/>
    <mergeCell ref="K35:L35"/>
    <mergeCell ref="N35:O35"/>
    <mergeCell ref="P35:R35"/>
    <mergeCell ref="S35:T35"/>
    <mergeCell ref="U35:V35"/>
    <mergeCell ref="W35:X35"/>
    <mergeCell ref="B34:C34"/>
    <mergeCell ref="D34:F34"/>
    <mergeCell ref="G34:H34"/>
    <mergeCell ref="I34:J34"/>
    <mergeCell ref="K34:L34"/>
    <mergeCell ref="N34:O34"/>
    <mergeCell ref="P34:R34"/>
    <mergeCell ref="S34:T34"/>
    <mergeCell ref="U34:V34"/>
    <mergeCell ref="W32:X32"/>
    <mergeCell ref="B33:C33"/>
    <mergeCell ref="D33:F33"/>
    <mergeCell ref="G33:H33"/>
    <mergeCell ref="I33:J33"/>
    <mergeCell ref="K33:L33"/>
    <mergeCell ref="N33:O33"/>
    <mergeCell ref="P33:R33"/>
    <mergeCell ref="S33:T33"/>
    <mergeCell ref="U33:V33"/>
    <mergeCell ref="W33:X33"/>
    <mergeCell ref="B32:C32"/>
    <mergeCell ref="D32:F32"/>
    <mergeCell ref="G32:H32"/>
    <mergeCell ref="I32:J32"/>
    <mergeCell ref="K32:L32"/>
    <mergeCell ref="N32:O32"/>
    <mergeCell ref="P32:R32"/>
    <mergeCell ref="S32:T32"/>
    <mergeCell ref="U32:V32"/>
    <mergeCell ref="B30:L30"/>
    <mergeCell ref="N30:X30"/>
    <mergeCell ref="B31:C31"/>
    <mergeCell ref="D31:F31"/>
    <mergeCell ref="G31:H31"/>
    <mergeCell ref="I31:J31"/>
    <mergeCell ref="K31:L31"/>
    <mergeCell ref="N31:O31"/>
    <mergeCell ref="P31:R31"/>
    <mergeCell ref="S31:T31"/>
    <mergeCell ref="U31:V31"/>
    <mergeCell ref="W31:X31"/>
    <mergeCell ref="T22:U22"/>
    <mergeCell ref="V22:W22"/>
    <mergeCell ref="X22:Y22"/>
    <mergeCell ref="D24:G24"/>
    <mergeCell ref="J24:N24"/>
    <mergeCell ref="R24:U24"/>
    <mergeCell ref="H22:I22"/>
    <mergeCell ref="J22:K22"/>
    <mergeCell ref="L22:M22"/>
    <mergeCell ref="N22:O22"/>
    <mergeCell ref="P22:Q22"/>
    <mergeCell ref="R22:S22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H18:M18"/>
    <mergeCell ref="N18:S18"/>
    <mergeCell ref="T18:Y18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AF12:AG12"/>
    <mergeCell ref="AH12:AI12"/>
    <mergeCell ref="H16:Y17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Z11:AA11"/>
    <mergeCell ref="AB11:AC11"/>
    <mergeCell ref="AD11:AE11"/>
    <mergeCell ref="Z12:AA12"/>
    <mergeCell ref="AB12:AC12"/>
    <mergeCell ref="AD12:AE12"/>
    <mergeCell ref="AF11:AG11"/>
    <mergeCell ref="AH11:AI11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AB10:AC10"/>
    <mergeCell ref="AD10:AE10"/>
    <mergeCell ref="AF10:AG10"/>
    <mergeCell ref="AH10:AI10"/>
    <mergeCell ref="L10:M10"/>
    <mergeCell ref="N10:O10"/>
    <mergeCell ref="P10:Q10"/>
    <mergeCell ref="R10:S10"/>
    <mergeCell ref="T10:U10"/>
    <mergeCell ref="V10:W10"/>
    <mergeCell ref="Z9:AA9"/>
    <mergeCell ref="AB9:AC9"/>
    <mergeCell ref="AD9:AE9"/>
    <mergeCell ref="AF9:AG9"/>
    <mergeCell ref="AH9:AI9"/>
    <mergeCell ref="B10:C10"/>
    <mergeCell ref="D10:E10"/>
    <mergeCell ref="F10:G10"/>
    <mergeCell ref="H10:I10"/>
    <mergeCell ref="J10:K10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X10:Y10"/>
    <mergeCell ref="Z10:AA10"/>
    <mergeCell ref="X8:Y8"/>
    <mergeCell ref="Z8:AA8"/>
    <mergeCell ref="AB8:AC8"/>
    <mergeCell ref="AD8:AE8"/>
    <mergeCell ref="AF8:AG8"/>
    <mergeCell ref="AH8:AI8"/>
    <mergeCell ref="L8:M8"/>
    <mergeCell ref="N8:O8"/>
    <mergeCell ref="P8:Q8"/>
    <mergeCell ref="R8:S8"/>
    <mergeCell ref="T8:U8"/>
    <mergeCell ref="V8:W8"/>
    <mergeCell ref="B8:C8"/>
    <mergeCell ref="D8:E8"/>
    <mergeCell ref="F8:G8"/>
    <mergeCell ref="H8:I8"/>
    <mergeCell ref="J8:K8"/>
    <mergeCell ref="N7:O7"/>
    <mergeCell ref="P7:Q7"/>
    <mergeCell ref="R7:S7"/>
    <mergeCell ref="T7:U7"/>
    <mergeCell ref="B7:C7"/>
    <mergeCell ref="D7:E7"/>
    <mergeCell ref="F7:G7"/>
    <mergeCell ref="H7:I7"/>
    <mergeCell ref="J7:K7"/>
    <mergeCell ref="L7:M7"/>
    <mergeCell ref="B2:AI2"/>
    <mergeCell ref="B3:AI3"/>
    <mergeCell ref="B4:AI4"/>
    <mergeCell ref="B5:K6"/>
    <mergeCell ref="L5:W6"/>
    <mergeCell ref="X5:AG6"/>
    <mergeCell ref="AH5:AI6"/>
    <mergeCell ref="Z7:AA7"/>
    <mergeCell ref="AB7:AC7"/>
    <mergeCell ref="AD7:AE7"/>
    <mergeCell ref="AF7:AG7"/>
    <mergeCell ref="AH7:AI7"/>
    <mergeCell ref="V7:W7"/>
    <mergeCell ref="X7:Y7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1. Portada</vt:lpstr>
      <vt:lpstr>Inversion</vt:lpstr>
      <vt:lpstr>Gastos</vt:lpstr>
      <vt:lpstr>Costos</vt:lpstr>
      <vt:lpstr>Capital</vt:lpstr>
      <vt:lpstr>Credito</vt:lpstr>
      <vt:lpstr>Ingresos</vt:lpstr>
      <vt:lpstr>Est. Resultados</vt:lpstr>
      <vt:lpstr>Flujo de Caja</vt:lpstr>
      <vt:lpstr>Evaluacion</vt:lpstr>
      <vt:lpstr>Punto de Equilibrio</vt:lpstr>
      <vt:lpstr>Nomina</vt:lpstr>
      <vt:lpstr>NOMINA COMPLETA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2026-08-14T23:53:25Z</dcterms:created>
  <dcterms:modified xsi:type="dcterms:W3CDTF">2026-08-28T17:42:50Z</dcterms:modified>
  <cp:category/>
</cp:coreProperties>
</file>